
<file path=[Content_Types].xml><?xml version="1.0" encoding="utf-8"?>
<Types xmlns="http://schemas.openxmlformats.org/package/2006/content-types">
  <Override PartName="/xl/worksheets/sheet24.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externalLinks/externalLink7.xml" ContentType="application/vnd.openxmlformats-officedocument.spreadsheetml.externalLink+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drawings/drawing2.xml" ContentType="application/vnd.openxmlformats-officedocument.drawing+xml"/>
  <Override PartName="/xl/comments4.xml" ContentType="application/vnd.openxmlformats-officedocument.spreadsheetml.comments+xml"/>
  <Override PartName="/xl/charts/chart29.xml" ContentType="application/vnd.openxmlformats-officedocument.drawingml.chart+xml"/>
  <Override PartName="/xl/worksheets/sheet3.xml" ContentType="application/vnd.openxmlformats-officedocument.spreadsheetml.worksheet+xml"/>
  <Override PartName="/xl/externalLinks/externalLink3.xml" ContentType="application/vnd.openxmlformats-officedocument.spreadsheetml.externalLink+xml"/>
  <Override PartName="/xl/comments2.xml" ContentType="application/vnd.openxmlformats-officedocument.spreadsheetml.comments+xml"/>
  <Override PartName="/xl/charts/chart18.xml" ContentType="application/vnd.openxmlformats-officedocument.drawingml.chart+xml"/>
  <Override PartName="/xl/charts/chart27.xml" ContentType="application/vnd.openxmlformats-officedocument.drawingml.chart+xml"/>
  <Override PartName="/xl/drawings/drawing13.xml" ContentType="application/vnd.openxmlformats-officedocument.drawing+xml"/>
  <Override PartName="/xl/charts/chart36.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charts/chart16.xml" ContentType="application/vnd.openxmlformats-officedocument.drawingml.chart+xml"/>
  <Override PartName="/xl/charts/chart25.xml" ContentType="application/vnd.openxmlformats-officedocument.drawingml.chart+xml"/>
  <Override PartName="/xl/drawings/drawing11.xml" ContentType="application/vnd.openxmlformats-officedocument.drawingml.chartshapes+xml"/>
  <Override PartName="/xl/charts/chart34.xml" ContentType="application/vnd.openxmlformats-officedocument.drawingml.chart+xml"/>
  <Override PartName="/xl/worksheets/sheet29.xml" ContentType="application/vnd.openxmlformats-officedocument.spreadsheetml.workshee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worksheets/sheet18.xml" ContentType="application/vnd.openxmlformats-officedocument.spreadsheetml.worksheet+xml"/>
  <Override PartName="/xl/worksheets/sheet27.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30.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worksheets/sheet14.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charts/chart1.xml" ContentType="application/vnd.openxmlformats-officedocument.drawingml.chart+xml"/>
  <Override PartName="/xl/drawings/drawing3.xml" ContentType="application/vnd.openxmlformats-officedocument.drawing+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3.xml" ContentType="application/vnd.openxmlformats-officedocument.spreadsheetml.comments+xml"/>
  <Override PartName="/xl/charts/chart19.xml" ContentType="application/vnd.openxmlformats-officedocument.drawingml.chart+xml"/>
  <Override PartName="/xl/charts/chart28.xml" ContentType="application/vnd.openxmlformats-officedocument.drawingml.chart+xml"/>
  <Override PartName="/xl/drawings/drawing14.xml" ContentType="application/vnd.openxmlformats-officedocument.drawing+xml"/>
  <Override PartName="/xl/charts/chart37.xml" ContentType="application/vnd.openxmlformats-officedocument.drawingml.chart+xml"/>
  <Default Extension="vml" ContentType="application/vnd.openxmlformats-officedocument.vmlDrawing"/>
  <Override PartName="/xl/comments1.xml" ContentType="application/vnd.openxmlformats-officedocument.spreadsheetml.comments+xml"/>
  <Override PartName="/xl/charts/chart17.xml" ContentType="application/vnd.openxmlformats-officedocument.drawingml.chart+xml"/>
  <Override PartName="/xl/charts/chart26.xml" ContentType="application/vnd.openxmlformats-officedocument.drawingml.chart+xml"/>
  <Override PartName="/xl/drawings/drawing12.xml" ContentType="application/vnd.openxmlformats-officedocument.drawingml.chartshapes+xml"/>
  <Override PartName="/xl/charts/chart35.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drawings/drawing10.xml" ContentType="application/vnd.openxmlformats-officedocument.drawingml.chartshapes+xml"/>
  <Override PartName="/xl/charts/chart33.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600" yWindow="570" windowWidth="11115" windowHeight="5385" firstSheet="17" activeTab="18"/>
  </bookViews>
  <sheets>
    <sheet name="Anexo 3, Listado de Cuadros Imp" sheetId="49" r:id="rId1"/>
    <sheet name="1-Proyec Pob Tot. 2010" sheetId="86" r:id="rId2"/>
    <sheet name="2- Tasas de Poblacion" sheetId="62" r:id="rId3"/>
    <sheet name="3-Inflación" sheetId="22" r:id="rId4"/>
    <sheet name="4-PIB 2012, tres metodologías" sheetId="89" r:id="rId5"/>
    <sheet name="5-PIB Estruc. Est. II Trim 2012" sheetId="90" r:id="rId6"/>
    <sheet name="6-PIB Estructural 2013 Est. 2T" sheetId="91" r:id="rId7"/>
    <sheet name="7-Estimacion PIB 2013-2027" sheetId="92" r:id="rId8"/>
    <sheet name="8-Empalme de Bases 96-82 13-27" sheetId="93" r:id="rId9"/>
    <sheet name="9-Est. PIB MANUFACTURA ACP1996" sheetId="94" r:id="rId10"/>
    <sheet name="10-Est. PIB MANUFACTURA EMPALM" sheetId="82" r:id="rId11"/>
    <sheet name="11-PIB-Moderado Base-1982" sheetId="95" r:id="rId12"/>
    <sheet name="12-PIB-Optimista Base-1982" sheetId="96" r:id="rId13"/>
    <sheet name="13-PIB-Pesimista Base-1982" sheetId="97" r:id="rId14"/>
    <sheet name="14- PIB-Resumen Escenarios " sheetId="30" r:id="rId15"/>
    <sheet name="15-FactorCarga-PronosLineal" sheetId="98" r:id="rId16"/>
    <sheet name="16- PerdidasPremisasProy.Mod.27" sheetId="73" r:id="rId17"/>
    <sheet name="17-Precios EE-análisis históri " sheetId="85" r:id="rId18"/>
    <sheet name="18-Evolucion de Precio Real EE" sheetId="87" r:id="rId19"/>
    <sheet name="19-Proyeccion real del PRETOT" sheetId="67" r:id="rId20"/>
    <sheet name="20-Bloque = Bocas" sheetId="21" r:id="rId21"/>
    <sheet name="21-Bloque Consolidado" sheetId="48" r:id="rId22"/>
    <sheet name="21A -Total Megaproyectos" sheetId="88" r:id="rId23"/>
    <sheet name="22-Resumen de Pronosticos Dem " sheetId="70" r:id="rId24"/>
    <sheet name="23-Por Sector Esc Medio" sheetId="57" r:id="rId25"/>
    <sheet name="24- Por Sector Alto" sheetId="58" r:id="rId26"/>
    <sheet name="25- Por Sector Bajo" sheetId="59" r:id="rId27"/>
    <sheet name="26 Demanda por Barra 2011-2025" sheetId="71" r:id="rId28"/>
    <sheet name="Hoja1" sheetId="72" r:id="rId29"/>
  </sheets>
  <externalReferences>
    <externalReference r:id="rId30"/>
    <externalReference r:id="rId31"/>
    <externalReference r:id="rId32"/>
    <externalReference r:id="rId33"/>
    <externalReference r:id="rId34"/>
    <externalReference r:id="rId35"/>
    <externalReference r:id="rId36"/>
    <externalReference r:id="rId37"/>
  </externalReferences>
  <definedNames>
    <definedName name="__123Graph_AGrßfico1" localSheetId="10" hidden="1">'[1]2001-2010 Contraloría Historico'!#REF!</definedName>
    <definedName name="__123Graph_AGrßfico1" localSheetId="11" hidden="1">'[2]2001-2005-Contraloría'!#REF!</definedName>
    <definedName name="__123Graph_AGrßfico1" localSheetId="12" hidden="1">'[2]2001-2005-Contraloría'!#REF!</definedName>
    <definedName name="__123Graph_AGrßfico1" localSheetId="13" hidden="1">'[2]2001-2005-Contraloría'!#REF!</definedName>
    <definedName name="__123Graph_AGrßfico1" localSheetId="15" hidden="1">'[2]2001-2005-Contraloría'!#REF!</definedName>
    <definedName name="__123Graph_AGrßfico1" localSheetId="16" hidden="1">'[3]2001-2005-Contraloría'!#REF!</definedName>
    <definedName name="__123Graph_AGrßfico1" localSheetId="17" hidden="1">'[2]2001-2005-Contraloría'!#REF!</definedName>
    <definedName name="__123Graph_AGrßfico1" localSheetId="18" hidden="1">'[2]2001-2005-Contraloría'!#REF!</definedName>
    <definedName name="__123Graph_AGrßfico1" localSheetId="19" hidden="1">'[2]2001-2005-Contraloría'!#REF!</definedName>
    <definedName name="__123Graph_AGrßfico1" localSheetId="1" hidden="1">'[2]2001-2005-Contraloría'!#REF!</definedName>
    <definedName name="__123Graph_AGrßfico1" localSheetId="21" hidden="1">'[2]2001-2005-Contraloría'!#REF!</definedName>
    <definedName name="__123Graph_AGrßfico1" localSheetId="23" hidden="1">'[2]2001-2005-Contraloría'!#REF!</definedName>
    <definedName name="__123Graph_AGrßfico1" localSheetId="4" hidden="1">'[4]2001-2011 Contraloría Historico'!#REF!</definedName>
    <definedName name="__123Graph_AGrßfico1" localSheetId="5" hidden="1">'[4]2001-2011 Contraloría Historico'!#REF!</definedName>
    <definedName name="__123Graph_AGrßfico1" localSheetId="6" hidden="1">'[4]2001-2011 Contraloría Historico'!#REF!</definedName>
    <definedName name="__123Graph_AGrßfico1" localSheetId="7" hidden="1">'[4]2001-2011 Contraloría Historico'!#REF!</definedName>
    <definedName name="__123Graph_AGrßfico1" localSheetId="8" hidden="1">'[4]2001-2011 Contraloría Historico'!#REF!</definedName>
    <definedName name="__123Graph_AGrßfico1" localSheetId="9" hidden="1">'[4]2001-2011 Contraloría Historico'!#REF!</definedName>
    <definedName name="__123Graph_AGrßfico1" localSheetId="0" hidden="1">'[2]2001-2005-Contraloría'!#REF!</definedName>
    <definedName name="__123Graph_AGrßfico1" hidden="1">'[2]2001-2005-Contraloría'!#REF!</definedName>
    <definedName name="__123Graph_XGrßfico1" localSheetId="10" hidden="1">'[1]2001-2010 Contraloría Historico'!#REF!</definedName>
    <definedName name="__123Graph_XGrßfico1" localSheetId="11" hidden="1">'[2]2001-2005-Contraloría'!#REF!</definedName>
    <definedName name="__123Graph_XGrßfico1" localSheetId="12" hidden="1">'[2]2001-2005-Contraloría'!#REF!</definedName>
    <definedName name="__123Graph_XGrßfico1" localSheetId="13" hidden="1">'[2]2001-2005-Contraloría'!#REF!</definedName>
    <definedName name="__123Graph_XGrßfico1" localSheetId="15" hidden="1">'[2]2001-2005-Contraloría'!#REF!</definedName>
    <definedName name="__123Graph_XGrßfico1" localSheetId="16" hidden="1">'[3]2001-2005-Contraloría'!#REF!</definedName>
    <definedName name="__123Graph_XGrßfico1" localSheetId="17" hidden="1">'[2]2001-2005-Contraloría'!#REF!</definedName>
    <definedName name="__123Graph_XGrßfico1" localSheetId="18" hidden="1">'[2]2001-2005-Contraloría'!#REF!</definedName>
    <definedName name="__123Graph_XGrßfico1" localSheetId="19" hidden="1">'[2]2001-2005-Contraloría'!#REF!</definedName>
    <definedName name="__123Graph_XGrßfico1" localSheetId="1" hidden="1">'[2]2001-2005-Contraloría'!#REF!</definedName>
    <definedName name="__123Graph_XGrßfico1" localSheetId="21" hidden="1">'[2]2001-2005-Contraloría'!#REF!</definedName>
    <definedName name="__123Graph_XGrßfico1" localSheetId="23" hidden="1">'[2]2001-2005-Contraloría'!#REF!</definedName>
    <definedName name="__123Graph_XGrßfico1" localSheetId="4" hidden="1">'[4]2001-2011 Contraloría Historico'!#REF!</definedName>
    <definedName name="__123Graph_XGrßfico1" localSheetId="5" hidden="1">'[4]2001-2011 Contraloría Historico'!#REF!</definedName>
    <definedName name="__123Graph_XGrßfico1" localSheetId="6" hidden="1">'[4]2001-2011 Contraloría Historico'!#REF!</definedName>
    <definedName name="__123Graph_XGrßfico1" localSheetId="7" hidden="1">'[4]2001-2011 Contraloría Historico'!#REF!</definedName>
    <definedName name="__123Graph_XGrßfico1" localSheetId="8" hidden="1">'[4]2001-2011 Contraloría Historico'!#REF!</definedName>
    <definedName name="__123Graph_XGrßfico1" localSheetId="9" hidden="1">'[4]2001-2011 Contraloría Historico'!#REF!</definedName>
    <definedName name="__123Graph_XGrßfico1" localSheetId="0" hidden="1">'[2]2001-2005-Contraloría'!#REF!</definedName>
    <definedName name="__123Graph_XGrßfico1" hidden="1">'[2]2001-2005-Contraloría'!#REF!</definedName>
    <definedName name="_1__123Graph_AGrßfico_1A" localSheetId="16" hidden="1">'[3]2001-2005-Contraloría'!#REF!</definedName>
    <definedName name="_12__123Graph_XGrßfico_1A" localSheetId="11" hidden="1">'[2]2001-2005-Contraloría'!#REF!</definedName>
    <definedName name="_12__123Graph_XGrßfico_1A" localSheetId="15" hidden="1">'[2]2001-2005-Contraloría'!#REF!</definedName>
    <definedName name="_12__123Graph_XGrßfico_1A" localSheetId="16" hidden="1">'[2]2001-2005-Contraloría'!#REF!</definedName>
    <definedName name="_12__123Graph_XGrßfico_1A" localSheetId="17" hidden="1">'[2]2001-2005-Contraloría'!#REF!</definedName>
    <definedName name="_12__123Graph_XGrßfico_1A" localSheetId="21" hidden="1">'[2]2001-2005-Contraloría'!#REF!</definedName>
    <definedName name="_12__123Graph_XGrßfico_1A" localSheetId="0" hidden="1">'[2]2001-2005-Contraloría'!#REF!</definedName>
    <definedName name="_12__123Graph_XGrßfico_1A" hidden="1">'[2]2001-2005-Contraloría'!#REF!</definedName>
    <definedName name="_123Gph_AGrBfico3A" localSheetId="10" hidden="1">'[1]2001-2010 Contraloría Historico'!#REF!</definedName>
    <definedName name="_123Gph_AGrBfico3A" localSheetId="11" hidden="1">'[5]2001-2008Contraloría Historico'!#REF!</definedName>
    <definedName name="_123Gph_AGrBfico3A" localSheetId="15" hidden="1">'[5]2001-2008Contraloría Historico'!#REF!</definedName>
    <definedName name="_123Gph_AGrBfico3A" localSheetId="16" hidden="1">'[5]2001-2008Contraloría Historico'!#REF!</definedName>
    <definedName name="_123Gph_AGrBfico3A" localSheetId="17" hidden="1">'[5]2001-2008Contraloría Historico'!#REF!</definedName>
    <definedName name="_123Gph_AGrBfico3A" localSheetId="4" hidden="1">'[4]2001-2011 Contraloría Historico'!#REF!</definedName>
    <definedName name="_123Gph_AGrBfico3A" localSheetId="5" hidden="1">'[4]2001-2011 Contraloría Historico'!#REF!</definedName>
    <definedName name="_123Gph_AGrBfico3A" localSheetId="6" hidden="1">'[4]2001-2011 Contraloría Historico'!#REF!</definedName>
    <definedName name="_123Gph_AGrBfico3A" localSheetId="7" hidden="1">'[4]2001-2011 Contraloría Historico'!#REF!</definedName>
    <definedName name="_123Gph_AGrBfico3A" localSheetId="8" hidden="1">'[4]2001-2011 Contraloría Historico'!#REF!</definedName>
    <definedName name="_123Gph_AGrBfico3A" localSheetId="9" hidden="1">'[4]2001-2011 Contraloría Historico'!#REF!</definedName>
    <definedName name="_123Gph_AGrBfico3A" hidden="1">'[5]2001-2008Contraloría Historico'!#REF!</definedName>
    <definedName name="_123Graph_XGrBfico1B" localSheetId="10" hidden="1">'[1]2001-2010 Contraloría Historico'!#REF!</definedName>
    <definedName name="_123Graph_XGrBfico1B" localSheetId="11" hidden="1">'[5]2001-2008Contraloría Historico'!#REF!</definedName>
    <definedName name="_123Graph_XGrBfico1B" localSheetId="15" hidden="1">'[5]2001-2008Contraloría Historico'!#REF!</definedName>
    <definedName name="_123Graph_XGrBfico1B" localSheetId="16" hidden="1">'[5]2001-2008Contraloría Historico'!#REF!</definedName>
    <definedName name="_123Graph_XGrBfico1B" localSheetId="17" hidden="1">'[5]2001-2008Contraloría Historico'!#REF!</definedName>
    <definedName name="_123Graph_XGrBfico1B" localSheetId="4" hidden="1">'[4]2001-2011 Contraloría Historico'!#REF!</definedName>
    <definedName name="_123Graph_XGrBfico1B" localSheetId="5" hidden="1">'[4]2001-2011 Contraloría Historico'!#REF!</definedName>
    <definedName name="_123Graph_XGrBfico1B" localSheetId="6" hidden="1">'[4]2001-2011 Contraloría Historico'!#REF!</definedName>
    <definedName name="_123Graph_XGrBfico1B" localSheetId="7" hidden="1">'[4]2001-2011 Contraloría Historico'!#REF!</definedName>
    <definedName name="_123Graph_XGrBfico1B" localSheetId="8" hidden="1">'[4]2001-2011 Contraloría Historico'!#REF!</definedName>
    <definedName name="_123Graph_XGrBfico1B" localSheetId="9" hidden="1">'[4]2001-2011 Contraloría Historico'!#REF!</definedName>
    <definedName name="_123Graph_XGrBfico1B" hidden="1">'[5]2001-2008Contraloría Historico'!#REF!</definedName>
    <definedName name="_123Grph_XGrBfico2A" localSheetId="10" hidden="1">'[1]2001-2010 Contraloría Historico'!#REF!</definedName>
    <definedName name="_123Grph_XGrBfico2A" localSheetId="11" hidden="1">'[5]2001-2008Contraloría Historico'!#REF!</definedName>
    <definedName name="_123Grph_XGrBfico2A" localSheetId="15" hidden="1">'[5]2001-2008Contraloría Historico'!#REF!</definedName>
    <definedName name="_123Grph_XGrBfico2A" localSheetId="16" hidden="1">'[5]2001-2008Contraloría Historico'!#REF!</definedName>
    <definedName name="_123Grph_XGrBfico2A" localSheetId="17" hidden="1">'[5]2001-2008Contraloría Historico'!#REF!</definedName>
    <definedName name="_123Grph_XGrBfico2A" localSheetId="4" hidden="1">'[4]2001-2011 Contraloría Historico'!#REF!</definedName>
    <definedName name="_123Grph_XGrBfico2A" localSheetId="5" hidden="1">'[4]2001-2011 Contraloría Historico'!#REF!</definedName>
    <definedName name="_123Grph_XGrBfico2A" localSheetId="6" hidden="1">'[4]2001-2011 Contraloría Historico'!#REF!</definedName>
    <definedName name="_123Grph_XGrBfico2A" localSheetId="7" hidden="1">'[4]2001-2011 Contraloría Historico'!#REF!</definedName>
    <definedName name="_123Grph_XGrBfico2A" localSheetId="8" hidden="1">'[4]2001-2011 Contraloría Historico'!#REF!</definedName>
    <definedName name="_123Grph_XGrBfico2A" localSheetId="9" hidden="1">'[4]2001-2011 Contraloría Historico'!#REF!</definedName>
    <definedName name="_123Grph_XGrBfico2A" hidden="1">'[5]2001-2008Contraloría Historico'!#REF!</definedName>
    <definedName name="_123Grph_YGRBfico3" localSheetId="10" hidden="1">'[1]2001-2010 Contraloría Historico'!#REF!</definedName>
    <definedName name="_123Grph_YGRBfico3" localSheetId="11" hidden="1">'[5]2001-2008Contraloría Historico'!#REF!</definedName>
    <definedName name="_123Grph_YGRBfico3" localSheetId="15" hidden="1">'[5]2001-2008Contraloría Historico'!#REF!</definedName>
    <definedName name="_123Grph_YGRBfico3" localSheetId="16" hidden="1">'[5]2001-2008Contraloría Historico'!#REF!</definedName>
    <definedName name="_123Grph_YGRBfico3" localSheetId="17" hidden="1">'[5]2001-2008Contraloría Historico'!#REF!</definedName>
    <definedName name="_123Grph_YGRBfico3" localSheetId="4" hidden="1">'[4]2001-2011 Contraloría Historico'!#REF!</definedName>
    <definedName name="_123Grph_YGRBfico3" localSheetId="5" hidden="1">'[4]2001-2011 Contraloría Historico'!#REF!</definedName>
    <definedName name="_123Grph_YGRBfico3" localSheetId="6" hidden="1">'[4]2001-2011 Contraloría Historico'!#REF!</definedName>
    <definedName name="_123Grph_YGRBfico3" localSheetId="7" hidden="1">'[4]2001-2011 Contraloría Historico'!#REF!</definedName>
    <definedName name="_123Grph_YGRBfico3" localSheetId="8" hidden="1">'[4]2001-2011 Contraloría Historico'!#REF!</definedName>
    <definedName name="_123Grph_YGRBfico3" localSheetId="9" hidden="1">'[4]2001-2011 Contraloría Historico'!#REF!</definedName>
    <definedName name="_123Grph_YGRBfico3" hidden="1">'[5]2001-2008Contraloría Historico'!#REF!</definedName>
    <definedName name="_2__123Graph_AGrßfico_1A" localSheetId="11" hidden="1">'[2]2001-2005-Contraloría'!#REF!</definedName>
    <definedName name="_2__123Graph_AGrßfico_1A" localSheetId="12" hidden="1">'[2]2001-2005-Contraloría'!#REF!</definedName>
    <definedName name="_2__123Graph_AGrßfico_1A" localSheetId="13" hidden="1">'[2]2001-2005-Contraloría'!#REF!</definedName>
    <definedName name="_2__123Graph_AGrßfico_1A" localSheetId="15" hidden="1">'[2]2001-2005-Contraloría'!#REF!</definedName>
    <definedName name="_2__123Graph_AGrßfico_1A" localSheetId="17" hidden="1">'[2]2001-2005-Contraloría'!#REF!</definedName>
    <definedName name="_2__123Graph_AGrßfico_1A" localSheetId="1" hidden="1">'[2]2001-2005-Contraloría'!#REF!</definedName>
    <definedName name="_2__123Graph_AGrßfico_1A" localSheetId="23" hidden="1">'[2]2001-2005-Contraloría'!#REF!</definedName>
    <definedName name="_2__123Graph_AGrßfico_1A" hidden="1">'[2]2001-2005-Contraloría'!#REF!</definedName>
    <definedName name="_321" localSheetId="11" hidden="1">'[5]2001-2008Contraloría Historico'!#REF!</definedName>
    <definedName name="_321" localSheetId="15" hidden="1">'[5]2001-2008Contraloría Historico'!#REF!</definedName>
    <definedName name="_321" localSheetId="16" hidden="1">'[5]2001-2008Contraloría Historico'!#REF!</definedName>
    <definedName name="_321" localSheetId="17" hidden="1">'[5]2001-2008Contraloría Historico'!#REF!</definedName>
    <definedName name="_321" hidden="1">'[5]2001-2008Contraloría Historico'!#REF!</definedName>
    <definedName name="_4__123Graph_AGrßfico_1A" localSheetId="11" hidden="1">'[2]2001-2005-Contraloría'!#REF!</definedName>
    <definedName name="_4__123Graph_AGrßfico_1A" localSheetId="15" hidden="1">'[2]2001-2005-Contraloría'!#REF!</definedName>
    <definedName name="_4__123Graph_AGrßfico_1A" localSheetId="17" hidden="1">'[2]2001-2005-Contraloría'!#REF!</definedName>
    <definedName name="_4__123Graph_AGrßfico_1A" localSheetId="18" hidden="1">'[2]2001-2005-Contraloría'!#REF!</definedName>
    <definedName name="_4__123Graph_AGrßfico_1A" localSheetId="19" hidden="1">'[2]2001-2005-Contraloría'!#REF!</definedName>
    <definedName name="_4__123Graph_AGrßfico_1A" hidden="1">'[2]2001-2005-Contraloría'!#REF!</definedName>
    <definedName name="_4__123Graph_XGrßfico_1A" localSheetId="11" hidden="1">'[2]2001-2005-Contraloría'!#REF!</definedName>
    <definedName name="_4__123Graph_XGrßfico_1A" localSheetId="12" hidden="1">'[2]2001-2005-Contraloría'!#REF!</definedName>
    <definedName name="_4__123Graph_XGrßfico_1A" localSheetId="13" hidden="1">'[2]2001-2005-Contraloría'!#REF!</definedName>
    <definedName name="_4__123Graph_XGrßfico_1A" localSheetId="15" hidden="1">'[2]2001-2005-Contraloría'!#REF!</definedName>
    <definedName name="_4__123Graph_XGrßfico_1A" localSheetId="17" hidden="1">'[2]2001-2005-Contraloría'!#REF!</definedName>
    <definedName name="_4__123Graph_XGrßfico_1A" localSheetId="1" hidden="1">'[2]2001-2005-Contraloría'!#REF!</definedName>
    <definedName name="_4__123Graph_XGrßfico_1A" localSheetId="23" hidden="1">'[2]2001-2005-Contraloría'!#REF!</definedName>
    <definedName name="_4__123Graph_XGrßfico_1A" hidden="1">'[2]2001-2005-Contraloría'!#REF!</definedName>
    <definedName name="_6__123Graph_AGrßfico_1A" localSheetId="11" hidden="1">'[2]2001-2005-Contraloría'!#REF!</definedName>
    <definedName name="_6__123Graph_AGrßfico_1A" localSheetId="15" hidden="1">'[2]2001-2005-Contraloría'!#REF!</definedName>
    <definedName name="_6__123Graph_AGrßfico_1A" localSheetId="16" hidden="1">'[2]2001-2005-Contraloría'!#REF!</definedName>
    <definedName name="_6__123Graph_AGrßfico_1A" localSheetId="17" hidden="1">'[2]2001-2005-Contraloría'!#REF!</definedName>
    <definedName name="_6__123Graph_AGrßfico_1A" localSheetId="21" hidden="1">'[2]2001-2005-Contraloría'!#REF!</definedName>
    <definedName name="_6__123Graph_AGrßfico_1A" localSheetId="0" hidden="1">'[2]2001-2005-Contraloría'!#REF!</definedName>
    <definedName name="_6__123Graph_AGrßfico_1A" hidden="1">'[2]2001-2005-Contraloría'!#REF!</definedName>
    <definedName name="_7__123Graph_XGrßfico_1A" localSheetId="16" hidden="1">'[3]2001-2005-Contraloría'!#REF!</definedName>
    <definedName name="_8__123Graph_XGrßfico_1A" localSheetId="11" hidden="1">'[2]2001-2005-Contraloría'!#REF!</definedName>
    <definedName name="_8__123Graph_XGrßfico_1A" localSheetId="15" hidden="1">'[2]2001-2005-Contraloría'!#REF!</definedName>
    <definedName name="_8__123Graph_XGrßfico_1A" localSheetId="17" hidden="1">'[2]2001-2005-Contraloría'!#REF!</definedName>
    <definedName name="_8__123Graph_XGrßfico_1A" localSheetId="18" hidden="1">'[2]2001-2005-Contraloría'!#REF!</definedName>
    <definedName name="_8__123Graph_XGrßfico_1A" localSheetId="19" hidden="1">'[2]2001-2005-Contraloría'!#REF!</definedName>
    <definedName name="_8__123Graph_XGrßfico_1A" hidden="1">'[2]2001-2005-Contraloría'!#REF!</definedName>
    <definedName name="_intracorp" localSheetId="10" hidden="1">'[1]2001-2010 Contraloría Historico'!#REF!</definedName>
    <definedName name="_intracorp" localSheetId="11" hidden="1">'[5]2001-2008Contraloría Historico'!#REF!</definedName>
    <definedName name="_intracorp" localSheetId="15" hidden="1">'[5]2001-2008Contraloría Historico'!#REF!</definedName>
    <definedName name="_intracorp" localSheetId="16" hidden="1">'[5]2001-2008Contraloría Historico'!#REF!</definedName>
    <definedName name="_intracorp" localSheetId="17" hidden="1">'[5]2001-2008Contraloría Historico'!#REF!</definedName>
    <definedName name="_intracorp" localSheetId="4" hidden="1">'[4]2001-2011 Contraloría Historico'!#REF!</definedName>
    <definedName name="_intracorp" localSheetId="5" hidden="1">'[4]2001-2011 Contraloría Historico'!#REF!</definedName>
    <definedName name="_intracorp" localSheetId="6" hidden="1">'[4]2001-2011 Contraloría Historico'!#REF!</definedName>
    <definedName name="_intracorp" localSheetId="7" hidden="1">'[4]2001-2011 Contraloría Historico'!#REF!</definedName>
    <definedName name="_intracorp" localSheetId="8" hidden="1">'[4]2001-2011 Contraloría Historico'!#REF!</definedName>
    <definedName name="_intracorp" localSheetId="9" hidden="1">'[4]2001-2011 Contraloría Historico'!#REF!</definedName>
    <definedName name="_intracorp" hidden="1">'[5]2001-2008Contraloría Historico'!#REF!</definedName>
    <definedName name="_intracorpGraph" localSheetId="10" hidden="1">'[1]2001-2010 Contraloría Historico'!#REF!</definedName>
    <definedName name="_intracorpGraph" localSheetId="11" hidden="1">'[5]2001-2008Contraloría Historico'!#REF!</definedName>
    <definedName name="_intracorpGraph" localSheetId="15" hidden="1">'[5]2001-2008Contraloría Historico'!#REF!</definedName>
    <definedName name="_intracorpGraph" localSheetId="16" hidden="1">'[5]2001-2008Contraloría Historico'!#REF!</definedName>
    <definedName name="_intracorpGraph" localSheetId="17" hidden="1">'[5]2001-2008Contraloría Historico'!#REF!</definedName>
    <definedName name="_intracorpGraph" localSheetId="4" hidden="1">'[4]2001-2011 Contraloría Historico'!#REF!</definedName>
    <definedName name="_intracorpGraph" localSheetId="5" hidden="1">'[4]2001-2011 Contraloría Historico'!#REF!</definedName>
    <definedName name="_intracorpGraph" localSheetId="6" hidden="1">'[4]2001-2011 Contraloría Historico'!#REF!</definedName>
    <definedName name="_intracorpGraph" localSheetId="7" hidden="1">'[4]2001-2011 Contraloría Historico'!#REF!</definedName>
    <definedName name="_intracorpGraph" localSheetId="8" hidden="1">'[4]2001-2011 Contraloría Historico'!#REF!</definedName>
    <definedName name="_intracorpGraph" localSheetId="9" hidden="1">'[4]2001-2011 Contraloría Historico'!#REF!</definedName>
    <definedName name="_intracorpGraph" hidden="1">'[5]2001-2008Contraloría Historico'!#REF!</definedName>
    <definedName name="_xlnm.Print_Area" localSheetId="10">'10-Est. PIB MANUFACTURA EMPALM'!$A$2:$K$70</definedName>
    <definedName name="_xlnm.Print_Area" localSheetId="11">'11-PIB-Moderado Base-1982'!$A$1:$M$71</definedName>
    <definedName name="_xlnm.Print_Area" localSheetId="12">'12-PIB-Optimista Base-1982'!$A$1:$M$71</definedName>
    <definedName name="_xlnm.Print_Area" localSheetId="13">'13-PIB-Pesimista Base-1982'!$A$1:$M$71</definedName>
    <definedName name="_xlnm.Print_Area" localSheetId="15">'15-FactorCarga-PronosLineal'!$A$1:$Q$77</definedName>
    <definedName name="_xlnm.Print_Area" localSheetId="16">'16- PerdidasPremisasProy.Mod.27'!$A$1:$J$104</definedName>
    <definedName name="_xlnm.Print_Area" localSheetId="17">'17-Precios EE-análisis históri '!$A$3:$U$45</definedName>
    <definedName name="_xlnm.Print_Area" localSheetId="19">'19-Proyeccion real del PRETOT'!$A$1:$W$92</definedName>
    <definedName name="_xlnm.Print_Area" localSheetId="2">'2- Tasas de Poblacion'!$A$3:$P$50</definedName>
    <definedName name="_xlnm.Print_Area" localSheetId="20">'20-Bloque = Bocas'!$A$1:$L$48</definedName>
    <definedName name="_xlnm.Print_Area" localSheetId="21">'21-Bloque Consolidado'!$A$1:$M$43</definedName>
    <definedName name="_xlnm.Print_Area" localSheetId="23">'22-Resumen de Pronosticos Dem '!$B$3:$I$68</definedName>
    <definedName name="_xlnm.Print_Area" localSheetId="27">'26 Demanda por Barra 2011-2025'!$A$4:$Z$54</definedName>
    <definedName name="_xlnm.Print_Area" localSheetId="3">'3-Inflación'!$A$1:$E$60</definedName>
    <definedName name="_xlnm.Print_Area" localSheetId="4">'4-PIB 2012, tres metodologías'!$A$4:$AT$44</definedName>
    <definedName name="_xlnm.Print_Area" localSheetId="6">'6-PIB Estructural 2013 Est. 2T'!$B$2:$S$53</definedName>
    <definedName name="_xlnm.Print_Area" localSheetId="7">'7-Estimacion PIB 2013-2027'!$A$1:$R$65536</definedName>
    <definedName name="_xlnm.Print_Area" localSheetId="8">'8-Empalme de Bases 96-82 13-27'!$B$2:$AA$72</definedName>
    <definedName name="_xlnm.Print_Area" localSheetId="9">'9-Est. PIB MANUFACTURA ACP1996'!$A$1:$K$66</definedName>
    <definedName name="_xlnm.Print_Area" localSheetId="0">'Anexo 3, Listado de Cuadros Imp'!$A$1:$B$33</definedName>
    <definedName name="BaseDatos" localSheetId="11">#REF!</definedName>
    <definedName name="BaseDatos" localSheetId="15">#REF!</definedName>
    <definedName name="BaseDatos" localSheetId="17">[6]Datos!$A$1:$DC$482</definedName>
    <definedName name="BaseDatos">#REF!</definedName>
    <definedName name="INTRACORPa" localSheetId="10" hidden="1">'[1]2001-2010 Contraloría Historico'!#REF!</definedName>
    <definedName name="INTRACORPa" localSheetId="16" hidden="1">'[5]2001-2008Contraloría Historico'!#REF!</definedName>
    <definedName name="INTRACORPa" localSheetId="4" hidden="1">'[4]2001-2011 Contraloría Historico'!#REF!</definedName>
    <definedName name="INTRACORPa" localSheetId="5" hidden="1">'[4]2001-2011 Contraloría Historico'!#REF!</definedName>
    <definedName name="INTRACORPa" localSheetId="6" hidden="1">'[4]2001-2011 Contraloría Historico'!#REF!</definedName>
    <definedName name="INTRACORPa" localSheetId="7" hidden="1">'[4]2001-2011 Contraloría Historico'!#REF!</definedName>
    <definedName name="INTRACORPa" localSheetId="8" hidden="1">'[4]2001-2011 Contraloría Historico'!#REF!</definedName>
    <definedName name="INTRACORPa" localSheetId="9" hidden="1">'[4]2001-2011 Contraloría Historico'!#REF!</definedName>
    <definedName name="INTRACORPa" hidden="1">'[5]2001-2008Contraloría Historico'!#REF!</definedName>
  </definedNames>
  <calcPr calcId="125725"/>
</workbook>
</file>

<file path=xl/calcChain.xml><?xml version="1.0" encoding="utf-8"?>
<calcChain xmlns="http://schemas.openxmlformats.org/spreadsheetml/2006/main">
  <c r="N50" i="85"/>
  <c r="N38"/>
  <c r="N37"/>
  <c r="AA55" i="67"/>
  <c r="Z55"/>
  <c r="Z76"/>
  <c r="Z77"/>
  <c r="Z78"/>
  <c r="Z79"/>
  <c r="Z80"/>
  <c r="Z81"/>
  <c r="Z82"/>
  <c r="Z83"/>
  <c r="Z84"/>
  <c r="Z85"/>
  <c r="Z86"/>
  <c r="Z87"/>
  <c r="Z88"/>
  <c r="Z75"/>
  <c r="Z74"/>
  <c r="Z73"/>
  <c r="Z61"/>
  <c r="Z62"/>
  <c r="Z63"/>
  <c r="Z64"/>
  <c r="Z65"/>
  <c r="Z66"/>
  <c r="Z67"/>
  <c r="Z68"/>
  <c r="Z69"/>
  <c r="Z70"/>
  <c r="Z71"/>
  <c r="Z72"/>
  <c r="Z60"/>
  <c r="Y60"/>
  <c r="Y61"/>
  <c r="Y62"/>
  <c r="Y63"/>
  <c r="Y64"/>
  <c r="Y65"/>
  <c r="Y66"/>
  <c r="Y67"/>
  <c r="Y68"/>
  <c r="Y69"/>
  <c r="Y70"/>
  <c r="Y71"/>
  <c r="Y72"/>
  <c r="Y73"/>
  <c r="Y74"/>
  <c r="Y75"/>
  <c r="Y76"/>
  <c r="Y77"/>
  <c r="Y78"/>
  <c r="Y79"/>
  <c r="Y80"/>
  <c r="Y81"/>
  <c r="Y82"/>
  <c r="Y83"/>
  <c r="Y84"/>
  <c r="Y85"/>
  <c r="Y86"/>
  <c r="Y87"/>
  <c r="Y88"/>
  <c r="Y59"/>
  <c r="AA75"/>
  <c r="AA76"/>
  <c r="AA77"/>
  <c r="AA78"/>
  <c r="AA79"/>
  <c r="AA80"/>
  <c r="AA81"/>
  <c r="AA82"/>
  <c r="AA83"/>
  <c r="AA84"/>
  <c r="AA85"/>
  <c r="AA86"/>
  <c r="AA87"/>
  <c r="AA88"/>
  <c r="AA74"/>
  <c r="AA73"/>
  <c r="AA69"/>
  <c r="AA70"/>
  <c r="AA71"/>
  <c r="AA72"/>
  <c r="AA61"/>
  <c r="AA62"/>
  <c r="AA63"/>
  <c r="AA64"/>
  <c r="AA65"/>
  <c r="AA66"/>
  <c r="AA67"/>
  <c r="AA68"/>
  <c r="AA60"/>
  <c r="L31" i="85"/>
  <c r="D57"/>
  <c r="D56"/>
  <c r="E56"/>
  <c r="M56"/>
  <c r="F37" i="94"/>
  <c r="F38"/>
  <c r="F41" i="82"/>
  <c r="E41"/>
  <c r="F51" s="1"/>
  <c r="J51"/>
  <c r="H51"/>
  <c r="G41"/>
  <c r="B42"/>
  <c r="B15" i="49"/>
  <c r="B14"/>
  <c r="B12"/>
  <c r="B11"/>
  <c r="B10"/>
  <c r="D89" i="98" l="1"/>
  <c r="D88"/>
  <c r="D84"/>
  <c r="D83"/>
  <c r="D79"/>
  <c r="D78"/>
  <c r="M64"/>
  <c r="M63"/>
  <c r="M62"/>
  <c r="M60"/>
  <c r="M59"/>
  <c r="M58"/>
  <c r="M57"/>
  <c r="A57"/>
  <c r="A58" s="1"/>
  <c r="M56"/>
  <c r="E56"/>
  <c r="E57" s="1"/>
  <c r="E58" s="1"/>
  <c r="E59" s="1"/>
  <c r="E60" s="1"/>
  <c r="E61" s="1"/>
  <c r="E62" s="1"/>
  <c r="E63" s="1"/>
  <c r="E64" s="1"/>
  <c r="E65" s="1"/>
  <c r="E66" s="1"/>
  <c r="E67" s="1"/>
  <c r="E68" s="1"/>
  <c r="E69" s="1"/>
  <c r="E70" s="1"/>
  <c r="E71" s="1"/>
  <c r="D56"/>
  <c r="D57" s="1"/>
  <c r="D58" s="1"/>
  <c r="D59" s="1"/>
  <c r="D60" s="1"/>
  <c r="D61" s="1"/>
  <c r="D62" s="1"/>
  <c r="D63" s="1"/>
  <c r="D64" s="1"/>
  <c r="D65" s="1"/>
  <c r="D66" s="1"/>
  <c r="D67" s="1"/>
  <c r="D68" s="1"/>
  <c r="D69" s="1"/>
  <c r="D70" s="1"/>
  <c r="D71" s="1"/>
  <c r="C56"/>
  <c r="C57" s="1"/>
  <c r="C58" s="1"/>
  <c r="C59" s="1"/>
  <c r="C60" s="1"/>
  <c r="C61" s="1"/>
  <c r="C62" s="1"/>
  <c r="C63" s="1"/>
  <c r="C64" s="1"/>
  <c r="C65" s="1"/>
  <c r="C66" s="1"/>
  <c r="C67" s="1"/>
  <c r="C68" s="1"/>
  <c r="C69" s="1"/>
  <c r="C70" s="1"/>
  <c r="C71" s="1"/>
  <c r="B50"/>
  <c r="F47"/>
  <c r="G47" s="1"/>
  <c r="G46"/>
  <c r="F46"/>
  <c r="C45"/>
  <c r="C44"/>
  <c r="C43"/>
  <c r="C42"/>
  <c r="C41"/>
  <c r="C40"/>
  <c r="C39"/>
  <c r="C38"/>
  <c r="C37"/>
  <c r="C36"/>
  <c r="C35"/>
  <c r="C34"/>
  <c r="C33"/>
  <c r="C32"/>
  <c r="C31"/>
  <c r="C30"/>
  <c r="C29"/>
  <c r="C28"/>
  <c r="C27"/>
  <c r="C26"/>
  <c r="C25"/>
  <c r="C24"/>
  <c r="C23"/>
  <c r="C22"/>
  <c r="C21"/>
  <c r="C20"/>
  <c r="C19"/>
  <c r="C18"/>
  <c r="C17"/>
  <c r="C16"/>
  <c r="C15"/>
  <c r="C14"/>
  <c r="C13"/>
  <c r="C12"/>
  <c r="C11"/>
  <c r="C10"/>
  <c r="C9"/>
  <c r="C8"/>
  <c r="C7"/>
  <c r="C50" s="1"/>
  <c r="F56" s="1"/>
  <c r="C6"/>
  <c r="A6"/>
  <c r="A7" s="1"/>
  <c r="H5"/>
  <c r="D49" i="97"/>
  <c r="B49"/>
  <c r="F49" s="1"/>
  <c r="F80" s="1"/>
  <c r="F26" i="30" s="1"/>
  <c r="D48" i="97"/>
  <c r="B48"/>
  <c r="D47"/>
  <c r="B47"/>
  <c r="D46"/>
  <c r="B46"/>
  <c r="D45"/>
  <c r="B45"/>
  <c r="D44"/>
  <c r="B44"/>
  <c r="D43"/>
  <c r="B43"/>
  <c r="F43" s="1"/>
  <c r="D42"/>
  <c r="B42"/>
  <c r="D41"/>
  <c r="B41"/>
  <c r="F41" s="1"/>
  <c r="D40"/>
  <c r="B40"/>
  <c r="D39"/>
  <c r="B39"/>
  <c r="F39" s="1"/>
  <c r="D38"/>
  <c r="B38"/>
  <c r="D37"/>
  <c r="B37"/>
  <c r="F37" s="1"/>
  <c r="D36"/>
  <c r="B36"/>
  <c r="D35"/>
  <c r="B35"/>
  <c r="F35" s="1"/>
  <c r="D34"/>
  <c r="B34"/>
  <c r="D33"/>
  <c r="B33"/>
  <c r="F33" s="1"/>
  <c r="D32"/>
  <c r="B32"/>
  <c r="D31"/>
  <c r="B31"/>
  <c r="F31" s="1"/>
  <c r="D30"/>
  <c r="E30" s="1"/>
  <c r="B30"/>
  <c r="D29"/>
  <c r="B29"/>
  <c r="F29" s="1"/>
  <c r="D28"/>
  <c r="E28" s="1"/>
  <c r="B28"/>
  <c r="D27"/>
  <c r="B27"/>
  <c r="F27" s="1"/>
  <c r="D26"/>
  <c r="E26" s="1"/>
  <c r="B26"/>
  <c r="D25"/>
  <c r="B25"/>
  <c r="F25" s="1"/>
  <c r="D24"/>
  <c r="E24" s="1"/>
  <c r="B24"/>
  <c r="D23"/>
  <c r="B23"/>
  <c r="F23" s="1"/>
  <c r="D22"/>
  <c r="E22" s="1"/>
  <c r="B22"/>
  <c r="D21"/>
  <c r="B21"/>
  <c r="D20"/>
  <c r="E20" s="1"/>
  <c r="B20"/>
  <c r="D19"/>
  <c r="B19"/>
  <c r="D18"/>
  <c r="E18" s="1"/>
  <c r="B18"/>
  <c r="D17"/>
  <c r="B17"/>
  <c r="F17" s="1"/>
  <c r="D16"/>
  <c r="E16" s="1"/>
  <c r="B16"/>
  <c r="D15"/>
  <c r="B15"/>
  <c r="D14"/>
  <c r="E14" s="1"/>
  <c r="B14"/>
  <c r="D13"/>
  <c r="B13"/>
  <c r="F13" s="1"/>
  <c r="D12"/>
  <c r="E12" s="1"/>
  <c r="B12"/>
  <c r="D11"/>
  <c r="B11"/>
  <c r="F11" s="1"/>
  <c r="D10"/>
  <c r="E10" s="1"/>
  <c r="B10"/>
  <c r="D9"/>
  <c r="B9"/>
  <c r="A9"/>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D8"/>
  <c r="B8"/>
  <c r="A8"/>
  <c r="D7"/>
  <c r="F7" s="1"/>
  <c r="B7"/>
  <c r="D49" i="96"/>
  <c r="B49"/>
  <c r="F49" s="1"/>
  <c r="D48"/>
  <c r="B48"/>
  <c r="D47"/>
  <c r="B47"/>
  <c r="F47" s="1"/>
  <c r="D46"/>
  <c r="B46"/>
  <c r="D45"/>
  <c r="B45"/>
  <c r="F45" s="1"/>
  <c r="D44"/>
  <c r="B44"/>
  <c r="D43"/>
  <c r="B43"/>
  <c r="F43" s="1"/>
  <c r="D42"/>
  <c r="B42"/>
  <c r="D41"/>
  <c r="B41"/>
  <c r="F41" s="1"/>
  <c r="D40"/>
  <c r="B40"/>
  <c r="D39"/>
  <c r="B39"/>
  <c r="F39" s="1"/>
  <c r="D38"/>
  <c r="B38"/>
  <c r="D37"/>
  <c r="B37"/>
  <c r="F37" s="1"/>
  <c r="D36"/>
  <c r="B36"/>
  <c r="D35"/>
  <c r="B35"/>
  <c r="D34"/>
  <c r="B34"/>
  <c r="D33"/>
  <c r="B33"/>
  <c r="D32"/>
  <c r="B32"/>
  <c r="D31"/>
  <c r="B31"/>
  <c r="D30"/>
  <c r="B30"/>
  <c r="D29"/>
  <c r="B29"/>
  <c r="D28"/>
  <c r="B28"/>
  <c r="D27"/>
  <c r="B27"/>
  <c r="D26"/>
  <c r="B26"/>
  <c r="D25"/>
  <c r="B25"/>
  <c r="D24"/>
  <c r="B24"/>
  <c r="D23"/>
  <c r="B23"/>
  <c r="D22"/>
  <c r="B22"/>
  <c r="D21"/>
  <c r="B21"/>
  <c r="D20"/>
  <c r="B20"/>
  <c r="D19"/>
  <c r="B19"/>
  <c r="D18"/>
  <c r="B18"/>
  <c r="D17"/>
  <c r="B17"/>
  <c r="D16"/>
  <c r="B16"/>
  <c r="D15"/>
  <c r="B15"/>
  <c r="D14"/>
  <c r="B14"/>
  <c r="D13"/>
  <c r="B13"/>
  <c r="D12"/>
  <c r="B12"/>
  <c r="D11"/>
  <c r="B11"/>
  <c r="D10"/>
  <c r="B10"/>
  <c r="D9"/>
  <c r="B9"/>
  <c r="A9"/>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D8"/>
  <c r="B8"/>
  <c r="A8"/>
  <c r="D7"/>
  <c r="F7" s="1"/>
  <c r="B7"/>
  <c r="D49" i="95"/>
  <c r="B49"/>
  <c r="C49" s="1"/>
  <c r="C80" s="1"/>
  <c r="C16" i="30" s="1"/>
  <c r="D48" i="95"/>
  <c r="E49" s="1"/>
  <c r="E80" s="1"/>
  <c r="E16" i="30" s="1"/>
  <c r="B48" i="95"/>
  <c r="D47"/>
  <c r="B47"/>
  <c r="D46"/>
  <c r="E47" s="1"/>
  <c r="B46"/>
  <c r="D45"/>
  <c r="B45"/>
  <c r="C45" s="1"/>
  <c r="D44"/>
  <c r="E45" s="1"/>
  <c r="B44"/>
  <c r="D43"/>
  <c r="B43"/>
  <c r="D42"/>
  <c r="E43" s="1"/>
  <c r="B42"/>
  <c r="D41"/>
  <c r="B41"/>
  <c r="C41" s="1"/>
  <c r="D40"/>
  <c r="E41" s="1"/>
  <c r="B40"/>
  <c r="D39"/>
  <c r="B39"/>
  <c r="D38"/>
  <c r="E39" s="1"/>
  <c r="B38"/>
  <c r="D37"/>
  <c r="B37"/>
  <c r="C37" s="1"/>
  <c r="D36"/>
  <c r="E37" s="1"/>
  <c r="B36"/>
  <c r="D35"/>
  <c r="B35"/>
  <c r="D34"/>
  <c r="E35" s="1"/>
  <c r="B34"/>
  <c r="D33"/>
  <c r="B33"/>
  <c r="C33" s="1"/>
  <c r="D32"/>
  <c r="E33" s="1"/>
  <c r="B32"/>
  <c r="D31"/>
  <c r="B31"/>
  <c r="D30"/>
  <c r="E31" s="1"/>
  <c r="B30"/>
  <c r="D29"/>
  <c r="B29"/>
  <c r="C29" s="1"/>
  <c r="D28"/>
  <c r="E29" s="1"/>
  <c r="B28"/>
  <c r="D27"/>
  <c r="B27"/>
  <c r="D26"/>
  <c r="E27" s="1"/>
  <c r="B26"/>
  <c r="D25"/>
  <c r="B25"/>
  <c r="F25" s="1"/>
  <c r="D24"/>
  <c r="E25" s="1"/>
  <c r="B24"/>
  <c r="D23"/>
  <c r="B23"/>
  <c r="D22"/>
  <c r="E23" s="1"/>
  <c r="B22"/>
  <c r="D21"/>
  <c r="B21"/>
  <c r="C21" s="1"/>
  <c r="D20"/>
  <c r="E21" s="1"/>
  <c r="B20"/>
  <c r="D19"/>
  <c r="B19"/>
  <c r="D18"/>
  <c r="E19" s="1"/>
  <c r="B18"/>
  <c r="D17"/>
  <c r="B17"/>
  <c r="C17" s="1"/>
  <c r="D16"/>
  <c r="B16"/>
  <c r="D15"/>
  <c r="B15"/>
  <c r="D14"/>
  <c r="E14" s="1"/>
  <c r="B14"/>
  <c r="D13"/>
  <c r="B13"/>
  <c r="C13" s="1"/>
  <c r="D12"/>
  <c r="B12"/>
  <c r="D11"/>
  <c r="B11"/>
  <c r="D10"/>
  <c r="E10" s="1"/>
  <c r="B10"/>
  <c r="D9"/>
  <c r="B9"/>
  <c r="D8"/>
  <c r="B8"/>
  <c r="A8"/>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D7"/>
  <c r="B7"/>
  <c r="C8" s="1"/>
  <c r="J38" i="94"/>
  <c r="H38"/>
  <c r="J37"/>
  <c r="H37"/>
  <c r="J36"/>
  <c r="H36"/>
  <c r="F36"/>
  <c r="J35"/>
  <c r="H35"/>
  <c r="F35"/>
  <c r="J34"/>
  <c r="H34"/>
  <c r="F34"/>
  <c r="J33"/>
  <c r="H33"/>
  <c r="F33"/>
  <c r="J32"/>
  <c r="H32"/>
  <c r="F32"/>
  <c r="J31"/>
  <c r="H31"/>
  <c r="F31"/>
  <c r="J30"/>
  <c r="H30"/>
  <c r="F30"/>
  <c r="J29"/>
  <c r="H29"/>
  <c r="F29"/>
  <c r="J28"/>
  <c r="H28"/>
  <c r="F28"/>
  <c r="J27"/>
  <c r="H27"/>
  <c r="F27"/>
  <c r="J26"/>
  <c r="H26"/>
  <c r="F26"/>
  <c r="J25"/>
  <c r="H25"/>
  <c r="F25"/>
  <c r="J24"/>
  <c r="I24"/>
  <c r="I25" s="1"/>
  <c r="I26" s="1"/>
  <c r="I27" s="1"/>
  <c r="I28" s="1"/>
  <c r="H24"/>
  <c r="G24"/>
  <c r="F24"/>
  <c r="E24"/>
  <c r="E25" s="1"/>
  <c r="E26" s="1"/>
  <c r="E27" s="1"/>
  <c r="E28" s="1"/>
  <c r="E23"/>
  <c r="E22"/>
  <c r="G22" s="1"/>
  <c r="E21"/>
  <c r="E20"/>
  <c r="I20" s="1"/>
  <c r="B20"/>
  <c r="G19"/>
  <c r="E19"/>
  <c r="B19"/>
  <c r="F18"/>
  <c r="E18"/>
  <c r="G18" s="1"/>
  <c r="E17"/>
  <c r="I17" s="1"/>
  <c r="E16"/>
  <c r="I16" s="1"/>
  <c r="L69" i="93"/>
  <c r="K69"/>
  <c r="J69"/>
  <c r="Z68"/>
  <c r="Y68"/>
  <c r="X68"/>
  <c r="L68"/>
  <c r="K68"/>
  <c r="J68"/>
  <c r="Z67"/>
  <c r="Y67"/>
  <c r="X67"/>
  <c r="L67"/>
  <c r="K67"/>
  <c r="J67"/>
  <c r="Z66"/>
  <c r="Y66"/>
  <c r="X66"/>
  <c r="L66"/>
  <c r="K66"/>
  <c r="J66"/>
  <c r="Z65"/>
  <c r="Y65"/>
  <c r="X65"/>
  <c r="L65"/>
  <c r="K65"/>
  <c r="J65"/>
  <c r="Z64"/>
  <c r="Y64"/>
  <c r="X64"/>
  <c r="L64"/>
  <c r="K64"/>
  <c r="J64"/>
  <c r="Z63"/>
  <c r="Y63"/>
  <c r="X63"/>
  <c r="L63"/>
  <c r="K63"/>
  <c r="J63"/>
  <c r="Z62"/>
  <c r="Y62"/>
  <c r="X62"/>
  <c r="L62"/>
  <c r="K62"/>
  <c r="J62"/>
  <c r="Z61"/>
  <c r="Y61"/>
  <c r="X61"/>
  <c r="L61"/>
  <c r="K61"/>
  <c r="J61"/>
  <c r="Z60"/>
  <c r="Y60"/>
  <c r="X60"/>
  <c r="L60"/>
  <c r="K60"/>
  <c r="J60"/>
  <c r="Z59"/>
  <c r="Y59"/>
  <c r="X59"/>
  <c r="L59"/>
  <c r="K59"/>
  <c r="J59"/>
  <c r="Z58"/>
  <c r="Y58"/>
  <c r="X58"/>
  <c r="L58"/>
  <c r="K58"/>
  <c r="J58"/>
  <c r="Z57"/>
  <c r="Y57"/>
  <c r="X57"/>
  <c r="L57"/>
  <c r="K57"/>
  <c r="J57"/>
  <c r="Z56"/>
  <c r="Y56"/>
  <c r="X56"/>
  <c r="L56"/>
  <c r="K56"/>
  <c r="J56"/>
  <c r="Z55"/>
  <c r="Y55"/>
  <c r="X55"/>
  <c r="L55"/>
  <c r="K55"/>
  <c r="J55"/>
  <c r="L54"/>
  <c r="K54"/>
  <c r="J54"/>
  <c r="L53"/>
  <c r="K53"/>
  <c r="J53"/>
  <c r="I53"/>
  <c r="H53"/>
  <c r="G53"/>
  <c r="I52"/>
  <c r="H52"/>
  <c r="G52"/>
  <c r="H51"/>
  <c r="I51" s="1"/>
  <c r="G51"/>
  <c r="H50"/>
  <c r="I50" s="1"/>
  <c r="G50"/>
  <c r="H49"/>
  <c r="I49" s="1"/>
  <c r="G49"/>
  <c r="I48"/>
  <c r="H48"/>
  <c r="G48"/>
  <c r="H47"/>
  <c r="I47" s="1"/>
  <c r="G47"/>
  <c r="H46"/>
  <c r="I46" s="1"/>
  <c r="G46"/>
  <c r="H45"/>
  <c r="I45" s="1"/>
  <c r="G45"/>
  <c r="I44"/>
  <c r="H44"/>
  <c r="G44"/>
  <c r="N43"/>
  <c r="S43" s="1"/>
  <c r="H43"/>
  <c r="I43" s="1"/>
  <c r="G43"/>
  <c r="S42"/>
  <c r="R42"/>
  <c r="Q42"/>
  <c r="X42" s="1"/>
  <c r="O42"/>
  <c r="P42" s="1"/>
  <c r="H42"/>
  <c r="I42" s="1"/>
  <c r="G42"/>
  <c r="S41"/>
  <c r="R41"/>
  <c r="Q41"/>
  <c r="O41"/>
  <c r="P41" s="1"/>
  <c r="H41"/>
  <c r="I41" s="1"/>
  <c r="G41"/>
  <c r="S40"/>
  <c r="R40"/>
  <c r="Q40"/>
  <c r="X40" s="1"/>
  <c r="O40"/>
  <c r="P40" s="1"/>
  <c r="H40"/>
  <c r="I40" s="1"/>
  <c r="G40"/>
  <c r="S39"/>
  <c r="R39"/>
  <c r="Q39"/>
  <c r="O39"/>
  <c r="P39" s="1"/>
  <c r="H39"/>
  <c r="I39" s="1"/>
  <c r="G39"/>
  <c r="S38"/>
  <c r="R38"/>
  <c r="Q38"/>
  <c r="X38" s="1"/>
  <c r="O38"/>
  <c r="P38" s="1"/>
  <c r="H38"/>
  <c r="I38" s="1"/>
  <c r="G38"/>
  <c r="S37"/>
  <c r="R37"/>
  <c r="Q37"/>
  <c r="O37"/>
  <c r="P37" s="1"/>
  <c r="H37"/>
  <c r="I37" s="1"/>
  <c r="G37"/>
  <c r="S36"/>
  <c r="R36"/>
  <c r="Q36"/>
  <c r="X36" s="1"/>
  <c r="O36"/>
  <c r="P36" s="1"/>
  <c r="I36"/>
  <c r="H36"/>
  <c r="G36"/>
  <c r="S35"/>
  <c r="R35"/>
  <c r="Q35"/>
  <c r="P35"/>
  <c r="O35"/>
  <c r="H35"/>
  <c r="I35" s="1"/>
  <c r="G35"/>
  <c r="S34"/>
  <c r="R34"/>
  <c r="Q34"/>
  <c r="X34" s="1"/>
  <c r="O34"/>
  <c r="P34" s="1"/>
  <c r="I34"/>
  <c r="H34"/>
  <c r="G34"/>
  <c r="S33"/>
  <c r="R33"/>
  <c r="Q33"/>
  <c r="P33"/>
  <c r="O33"/>
  <c r="H33"/>
  <c r="I33" s="1"/>
  <c r="G33"/>
  <c r="S32"/>
  <c r="R32"/>
  <c r="Q32"/>
  <c r="X32" s="1"/>
  <c r="O32"/>
  <c r="H32"/>
  <c r="I32" s="1"/>
  <c r="G32"/>
  <c r="X31"/>
  <c r="I31"/>
  <c r="H31"/>
  <c r="G31"/>
  <c r="X30"/>
  <c r="I30"/>
  <c r="H30"/>
  <c r="G30"/>
  <c r="X29"/>
  <c r="H29"/>
  <c r="I29" s="1"/>
  <c r="G29"/>
  <c r="X28"/>
  <c r="H28"/>
  <c r="I28" s="1"/>
  <c r="G28"/>
  <c r="X27"/>
  <c r="H27"/>
  <c r="I27" s="1"/>
  <c r="G27"/>
  <c r="X26"/>
  <c r="I26"/>
  <c r="H26"/>
  <c r="G26"/>
  <c r="X25"/>
  <c r="H25"/>
  <c r="I25" s="1"/>
  <c r="G25"/>
  <c r="X24"/>
  <c r="O24"/>
  <c r="H24"/>
  <c r="I24" s="1"/>
  <c r="G24"/>
  <c r="X23"/>
  <c r="I23"/>
  <c r="H23"/>
  <c r="G23"/>
  <c r="X22"/>
  <c r="H22"/>
  <c r="I22" s="1"/>
  <c r="G22"/>
  <c r="X21"/>
  <c r="H21"/>
  <c r="I21" s="1"/>
  <c r="G21"/>
  <c r="X20"/>
  <c r="H20"/>
  <c r="I20" s="1"/>
  <c r="G20"/>
  <c r="X19"/>
  <c r="I19"/>
  <c r="H19"/>
  <c r="G19"/>
  <c r="X18"/>
  <c r="H18"/>
  <c r="I18" s="1"/>
  <c r="G18"/>
  <c r="X17"/>
  <c r="H17"/>
  <c r="I17" s="1"/>
  <c r="G17"/>
  <c r="X16"/>
  <c r="H16"/>
  <c r="I16" s="1"/>
  <c r="G16"/>
  <c r="X15"/>
  <c r="I15"/>
  <c r="H15"/>
  <c r="G15"/>
  <c r="X14"/>
  <c r="H14"/>
  <c r="I14" s="1"/>
  <c r="G14"/>
  <c r="C14"/>
  <c r="C15" s="1"/>
  <c r="C16" s="1"/>
  <c r="C17" s="1"/>
  <c r="C18" s="1"/>
  <c r="C19" s="1"/>
  <c r="C20" s="1"/>
  <c r="C21" s="1"/>
  <c r="C22" s="1"/>
  <c r="C23" s="1"/>
  <c r="C24" s="1"/>
  <c r="C25" s="1"/>
  <c r="C26" s="1"/>
  <c r="C27" s="1"/>
  <c r="C28" s="1"/>
  <c r="C29" s="1"/>
  <c r="C30" s="1"/>
  <c r="C31" s="1"/>
  <c r="C32" s="1"/>
  <c r="C33" s="1"/>
  <c r="C34" s="1"/>
  <c r="C35" s="1"/>
  <c r="C36" s="1"/>
  <c r="C37" s="1"/>
  <c r="C38" s="1"/>
  <c r="C39" s="1"/>
  <c r="C40" s="1"/>
  <c r="C41" s="1"/>
  <c r="C42" s="1"/>
  <c r="C43" s="1"/>
  <c r="C44" s="1"/>
  <c r="C45" s="1"/>
  <c r="C46" s="1"/>
  <c r="C47" s="1"/>
  <c r="C48" s="1"/>
  <c r="C49" s="1"/>
  <c r="C50" s="1"/>
  <c r="C51" s="1"/>
  <c r="C52" s="1"/>
  <c r="C53" s="1"/>
  <c r="C54" s="1"/>
  <c r="C55" s="1"/>
  <c r="C56" s="1"/>
  <c r="C57" s="1"/>
  <c r="C58" s="1"/>
  <c r="C59" s="1"/>
  <c r="C60" s="1"/>
  <c r="C61" s="1"/>
  <c r="C62" s="1"/>
  <c r="C63" s="1"/>
  <c r="C64" s="1"/>
  <c r="C65" s="1"/>
  <c r="C66" s="1"/>
  <c r="C67" s="1"/>
  <c r="C68" s="1"/>
  <c r="C69" s="1"/>
  <c r="X13"/>
  <c r="H13"/>
  <c r="I13" s="1"/>
  <c r="G13"/>
  <c r="C13"/>
  <c r="H12"/>
  <c r="G12"/>
  <c r="L42" i="92"/>
  <c r="K33"/>
  <c r="I33"/>
  <c r="G33"/>
  <c r="K32"/>
  <c r="I32"/>
  <c r="G32"/>
  <c r="K31"/>
  <c r="I31"/>
  <c r="G31"/>
  <c r="K30"/>
  <c r="I30"/>
  <c r="G30"/>
  <c r="K29"/>
  <c r="I29"/>
  <c r="G29"/>
  <c r="K28"/>
  <c r="I28"/>
  <c r="G28"/>
  <c r="K27"/>
  <c r="I27"/>
  <c r="G27"/>
  <c r="K26"/>
  <c r="I26"/>
  <c r="G26"/>
  <c r="Q25"/>
  <c r="O25"/>
  <c r="M25"/>
  <c r="K25"/>
  <c r="I25"/>
  <c r="G25"/>
  <c r="Q24"/>
  <c r="O24"/>
  <c r="M24"/>
  <c r="K24"/>
  <c r="I24"/>
  <c r="G24"/>
  <c r="Q23"/>
  <c r="O23"/>
  <c r="M23"/>
  <c r="K23"/>
  <c r="I23"/>
  <c r="G23"/>
  <c r="P22"/>
  <c r="N22"/>
  <c r="L22"/>
  <c r="L23" s="1"/>
  <c r="L24" s="1"/>
  <c r="L25" s="1"/>
  <c r="L26" s="1"/>
  <c r="L27" s="1"/>
  <c r="L28" s="1"/>
  <c r="L29" s="1"/>
  <c r="L30" s="1"/>
  <c r="L31" s="1"/>
  <c r="L32" s="1"/>
  <c r="L33" s="1"/>
  <c r="L34" s="1"/>
  <c r="L35" s="1"/>
  <c r="L36" s="1"/>
  <c r="K22"/>
  <c r="I22"/>
  <c r="G22"/>
  <c r="N21"/>
  <c r="M21"/>
  <c r="L21"/>
  <c r="P21" s="1"/>
  <c r="K21"/>
  <c r="I21"/>
  <c r="G21"/>
  <c r="L20"/>
  <c r="N20" s="1"/>
  <c r="P20" s="1"/>
  <c r="K20"/>
  <c r="I20"/>
  <c r="G20"/>
  <c r="L19"/>
  <c r="K19"/>
  <c r="J19"/>
  <c r="J20" s="1"/>
  <c r="J21" s="1"/>
  <c r="J22" s="1"/>
  <c r="J23" s="1"/>
  <c r="J24" s="1"/>
  <c r="J25" s="1"/>
  <c r="J26" s="1"/>
  <c r="J27" s="1"/>
  <c r="J28" s="1"/>
  <c r="J29" s="1"/>
  <c r="J30" s="1"/>
  <c r="J31" s="1"/>
  <c r="J32" s="1"/>
  <c r="J33" s="1"/>
  <c r="I19"/>
  <c r="H19"/>
  <c r="G19"/>
  <c r="F19"/>
  <c r="F20" s="1"/>
  <c r="F21" s="1"/>
  <c r="F22" s="1"/>
  <c r="F23" s="1"/>
  <c r="F24" s="1"/>
  <c r="F25" s="1"/>
  <c r="F26" s="1"/>
  <c r="F27" s="1"/>
  <c r="F28" s="1"/>
  <c r="F29" s="1"/>
  <c r="F30" s="1"/>
  <c r="F31" s="1"/>
  <c r="F32" s="1"/>
  <c r="F33" s="1"/>
  <c r="L18"/>
  <c r="N18" s="1"/>
  <c r="K18"/>
  <c r="J18"/>
  <c r="I18"/>
  <c r="H18"/>
  <c r="G18"/>
  <c r="F18"/>
  <c r="P17"/>
  <c r="N17"/>
  <c r="L17"/>
  <c r="J17"/>
  <c r="H17"/>
  <c r="F17"/>
  <c r="C17"/>
  <c r="C18" s="1"/>
  <c r="P16"/>
  <c r="Q17" s="1"/>
  <c r="N16"/>
  <c r="L16"/>
  <c r="J16"/>
  <c r="H16"/>
  <c r="F16"/>
  <c r="Q15"/>
  <c r="P15"/>
  <c r="N15"/>
  <c r="O15" s="1"/>
  <c r="L15"/>
  <c r="M16" s="1"/>
  <c r="J15"/>
  <c r="H15"/>
  <c r="F15"/>
  <c r="J42" i="91"/>
  <c r="H42"/>
  <c r="H41"/>
  <c r="G41"/>
  <c r="G66" s="1"/>
  <c r="P40"/>
  <c r="M40"/>
  <c r="J40"/>
  <c r="G40"/>
  <c r="N40" s="1"/>
  <c r="E40"/>
  <c r="P39"/>
  <c r="M39"/>
  <c r="J39"/>
  <c r="G39"/>
  <c r="N39" s="1"/>
  <c r="E39"/>
  <c r="P38"/>
  <c r="M38"/>
  <c r="J38"/>
  <c r="G38"/>
  <c r="E38"/>
  <c r="P37"/>
  <c r="M37"/>
  <c r="J37"/>
  <c r="G37"/>
  <c r="E37"/>
  <c r="J36"/>
  <c r="H36"/>
  <c r="P35"/>
  <c r="M35"/>
  <c r="J35"/>
  <c r="H35"/>
  <c r="P34"/>
  <c r="M34"/>
  <c r="J34"/>
  <c r="H34"/>
  <c r="G34"/>
  <c r="Q34" s="1"/>
  <c r="E34"/>
  <c r="Q33"/>
  <c r="P33"/>
  <c r="M33"/>
  <c r="N33" s="1"/>
  <c r="J33"/>
  <c r="H33"/>
  <c r="G33"/>
  <c r="E33"/>
  <c r="P32"/>
  <c r="M32"/>
  <c r="J32"/>
  <c r="H32"/>
  <c r="G32"/>
  <c r="G35" s="1"/>
  <c r="E32"/>
  <c r="P31"/>
  <c r="M31"/>
  <c r="N31" s="1"/>
  <c r="J31"/>
  <c r="H31"/>
  <c r="G31"/>
  <c r="Q31" s="1"/>
  <c r="E31"/>
  <c r="P30"/>
  <c r="M30"/>
  <c r="J30"/>
  <c r="H30"/>
  <c r="G30"/>
  <c r="Q30" s="1"/>
  <c r="E30"/>
  <c r="P29"/>
  <c r="M29"/>
  <c r="J29"/>
  <c r="H29"/>
  <c r="G29"/>
  <c r="E29"/>
  <c r="H28"/>
  <c r="P27"/>
  <c r="M27"/>
  <c r="J27"/>
  <c r="H27"/>
  <c r="G27"/>
  <c r="Q27" s="1"/>
  <c r="E27"/>
  <c r="P26"/>
  <c r="M26"/>
  <c r="J26"/>
  <c r="H26"/>
  <c r="G26"/>
  <c r="E26"/>
  <c r="P25"/>
  <c r="M25"/>
  <c r="J25"/>
  <c r="H25"/>
  <c r="G25"/>
  <c r="Q25" s="1"/>
  <c r="E25"/>
  <c r="P24"/>
  <c r="M24"/>
  <c r="J24"/>
  <c r="H24"/>
  <c r="G24"/>
  <c r="E24"/>
  <c r="P23"/>
  <c r="M23"/>
  <c r="J23"/>
  <c r="H23"/>
  <c r="G23"/>
  <c r="Q23" s="1"/>
  <c r="E23"/>
  <c r="P22"/>
  <c r="M22"/>
  <c r="J22"/>
  <c r="H22"/>
  <c r="G22"/>
  <c r="E22"/>
  <c r="H21"/>
  <c r="P20"/>
  <c r="M20"/>
  <c r="J20"/>
  <c r="H20"/>
  <c r="G20"/>
  <c r="Q20" s="1"/>
  <c r="E20"/>
  <c r="P19"/>
  <c r="M19"/>
  <c r="J19"/>
  <c r="H19"/>
  <c r="G19"/>
  <c r="Q19" s="1"/>
  <c r="E19"/>
  <c r="P18"/>
  <c r="M18"/>
  <c r="J18"/>
  <c r="H18"/>
  <c r="G18"/>
  <c r="Q18" s="1"/>
  <c r="E18"/>
  <c r="P17"/>
  <c r="M17"/>
  <c r="J17"/>
  <c r="H17"/>
  <c r="G17"/>
  <c r="G21" s="1"/>
  <c r="E17"/>
  <c r="E21" s="1"/>
  <c r="H16"/>
  <c r="P15"/>
  <c r="M15"/>
  <c r="J15"/>
  <c r="H15"/>
  <c r="G15"/>
  <c r="E15"/>
  <c r="P14"/>
  <c r="M14"/>
  <c r="J14"/>
  <c r="H14"/>
  <c r="G14"/>
  <c r="Q14" s="1"/>
  <c r="E14"/>
  <c r="P13"/>
  <c r="M13"/>
  <c r="J13"/>
  <c r="H13"/>
  <c r="G13"/>
  <c r="E13"/>
  <c r="I43" i="90"/>
  <c r="I42"/>
  <c r="F42"/>
  <c r="E42"/>
  <c r="I37"/>
  <c r="I36"/>
  <c r="F36"/>
  <c r="E36"/>
  <c r="I35"/>
  <c r="F35"/>
  <c r="E35"/>
  <c r="I34"/>
  <c r="F34"/>
  <c r="E34"/>
  <c r="I33"/>
  <c r="F33"/>
  <c r="E33"/>
  <c r="I32"/>
  <c r="F32"/>
  <c r="E32"/>
  <c r="G32" s="1"/>
  <c r="I31"/>
  <c r="F31"/>
  <c r="E31"/>
  <c r="I30"/>
  <c r="F30"/>
  <c r="E30"/>
  <c r="I29"/>
  <c r="I28"/>
  <c r="F28"/>
  <c r="E28"/>
  <c r="G28" s="1"/>
  <c r="I27"/>
  <c r="F27"/>
  <c r="E27"/>
  <c r="I26"/>
  <c r="F26"/>
  <c r="G26" s="1"/>
  <c r="E26"/>
  <c r="I25"/>
  <c r="F25"/>
  <c r="E25"/>
  <c r="I24"/>
  <c r="F24"/>
  <c r="E24"/>
  <c r="G24" s="1"/>
  <c r="I23"/>
  <c r="F23"/>
  <c r="E23"/>
  <c r="I22"/>
  <c r="I21"/>
  <c r="F21"/>
  <c r="E21"/>
  <c r="I20"/>
  <c r="F20"/>
  <c r="E20"/>
  <c r="I19"/>
  <c r="F19"/>
  <c r="E19"/>
  <c r="I18"/>
  <c r="F18"/>
  <c r="F22" s="1"/>
  <c r="E18"/>
  <c r="G18" s="1"/>
  <c r="I17"/>
  <c r="I16"/>
  <c r="F16"/>
  <c r="E16"/>
  <c r="I15"/>
  <c r="F15"/>
  <c r="E15"/>
  <c r="I14"/>
  <c r="F14"/>
  <c r="E14"/>
  <c r="G14" s="1"/>
  <c r="F73" i="89"/>
  <c r="G73" s="1"/>
  <c r="F72"/>
  <c r="G72" s="1"/>
  <c r="F71"/>
  <c r="G71" s="1"/>
  <c r="G70"/>
  <c r="F70"/>
  <c r="F68"/>
  <c r="E68"/>
  <c r="F66"/>
  <c r="G66" s="1"/>
  <c r="G63"/>
  <c r="F63"/>
  <c r="F62"/>
  <c r="G62" s="1"/>
  <c r="G61"/>
  <c r="F61"/>
  <c r="G60"/>
  <c r="F60"/>
  <c r="G59"/>
  <c r="F59"/>
  <c r="F58"/>
  <c r="G58" s="1"/>
  <c r="F57"/>
  <c r="G57" s="1"/>
  <c r="F56"/>
  <c r="G56" s="1"/>
  <c r="G55"/>
  <c r="F55"/>
  <c r="F52"/>
  <c r="G52" s="1"/>
  <c r="G50"/>
  <c r="F50"/>
  <c r="F49"/>
  <c r="G49" s="1"/>
  <c r="G48"/>
  <c r="F48"/>
  <c r="E48"/>
  <c r="E80" s="1"/>
  <c r="L38"/>
  <c r="K38"/>
  <c r="K39" s="1"/>
  <c r="J38"/>
  <c r="AO38" s="1"/>
  <c r="I38"/>
  <c r="H38"/>
  <c r="H39" s="1"/>
  <c r="G38"/>
  <c r="G39" s="1"/>
  <c r="F38"/>
  <c r="F39" s="1"/>
  <c r="E38"/>
  <c r="D38"/>
  <c r="AQ37"/>
  <c r="AP37"/>
  <c r="AO37"/>
  <c r="AN37"/>
  <c r="AM37"/>
  <c r="AL37"/>
  <c r="AK37"/>
  <c r="AJ37"/>
  <c r="AI37"/>
  <c r="AH37"/>
  <c r="AG37"/>
  <c r="AF37"/>
  <c r="AE37"/>
  <c r="AD37"/>
  <c r="AC37"/>
  <c r="S37"/>
  <c r="T37" s="1"/>
  <c r="R37"/>
  <c r="Q37"/>
  <c r="U37" s="1"/>
  <c r="O37"/>
  <c r="AJ36"/>
  <c r="AI36"/>
  <c r="AH36"/>
  <c r="AG36"/>
  <c r="AF36"/>
  <c r="AE36"/>
  <c r="AD36"/>
  <c r="AC36"/>
  <c r="N36"/>
  <c r="N38" s="1"/>
  <c r="M36"/>
  <c r="AK36" s="1"/>
  <c r="AQ35"/>
  <c r="AP35"/>
  <c r="AO35"/>
  <c r="AN35"/>
  <c r="AM35"/>
  <c r="AL35"/>
  <c r="AK35"/>
  <c r="AJ35"/>
  <c r="AI35"/>
  <c r="AH35"/>
  <c r="AG35"/>
  <c r="AF35"/>
  <c r="AE35"/>
  <c r="AD35"/>
  <c r="AC35"/>
  <c r="T35"/>
  <c r="S35"/>
  <c r="Q35"/>
  <c r="U35" s="1"/>
  <c r="O35"/>
  <c r="AQ34"/>
  <c r="AP34"/>
  <c r="AO34"/>
  <c r="AN34"/>
  <c r="AM34"/>
  <c r="AL34"/>
  <c r="AK34"/>
  <c r="AJ34"/>
  <c r="AI34"/>
  <c r="AH34"/>
  <c r="AG34"/>
  <c r="AF34"/>
  <c r="AE34"/>
  <c r="AD34"/>
  <c r="AC34"/>
  <c r="S34"/>
  <c r="T34" s="1"/>
  <c r="Q34"/>
  <c r="O34"/>
  <c r="N33"/>
  <c r="K33"/>
  <c r="AP33" s="1"/>
  <c r="J33"/>
  <c r="AO33" s="1"/>
  <c r="G33"/>
  <c r="F33"/>
  <c r="AP32"/>
  <c r="N32"/>
  <c r="AQ32" s="1"/>
  <c r="M32"/>
  <c r="M33" s="1"/>
  <c r="AK33" s="1"/>
  <c r="L32"/>
  <c r="L33" s="1"/>
  <c r="K32"/>
  <c r="J32"/>
  <c r="AI32" s="1"/>
  <c r="I32"/>
  <c r="AN32" s="1"/>
  <c r="H32"/>
  <c r="H33" s="1"/>
  <c r="AF33" s="1"/>
  <c r="G32"/>
  <c r="F32"/>
  <c r="AE32" s="1"/>
  <c r="E32"/>
  <c r="E33" s="1"/>
  <c r="AC33" s="1"/>
  <c r="D32"/>
  <c r="D33" s="1"/>
  <c r="AM33" s="1"/>
  <c r="AQ31"/>
  <c r="AP31"/>
  <c r="AO31"/>
  <c r="AN31"/>
  <c r="AM31"/>
  <c r="AL31"/>
  <c r="AK31"/>
  <c r="AJ31"/>
  <c r="AI31"/>
  <c r="AH31"/>
  <c r="AG31"/>
  <c r="AF31"/>
  <c r="AE31"/>
  <c r="AD31"/>
  <c r="AC31"/>
  <c r="T31"/>
  <c r="S31"/>
  <c r="Q31"/>
  <c r="U31" s="1"/>
  <c r="P31"/>
  <c r="O31"/>
  <c r="AQ30"/>
  <c r="AP30"/>
  <c r="AO30"/>
  <c r="AN30"/>
  <c r="AM30"/>
  <c r="AL30"/>
  <c r="AK30"/>
  <c r="AJ30"/>
  <c r="AI30"/>
  <c r="AH30"/>
  <c r="AG30"/>
  <c r="AF30"/>
  <c r="AE30"/>
  <c r="AD30"/>
  <c r="AC30"/>
  <c r="T30"/>
  <c r="S30"/>
  <c r="Q30"/>
  <c r="U30" s="1"/>
  <c r="P30"/>
  <c r="O30"/>
  <c r="AQ29"/>
  <c r="AP29"/>
  <c r="AO29"/>
  <c r="AN29"/>
  <c r="AM29"/>
  <c r="AL29"/>
  <c r="AK29"/>
  <c r="AJ29"/>
  <c r="AI29"/>
  <c r="AH29"/>
  <c r="AG29"/>
  <c r="AF29"/>
  <c r="AE29"/>
  <c r="AD29"/>
  <c r="AC29"/>
  <c r="T29"/>
  <c r="S29"/>
  <c r="S32" s="1"/>
  <c r="T32" s="1"/>
  <c r="Q29"/>
  <c r="U29" s="1"/>
  <c r="P29"/>
  <c r="O29"/>
  <c r="O32" s="1"/>
  <c r="P32" s="1"/>
  <c r="AQ28"/>
  <c r="AP28"/>
  <c r="AO28"/>
  <c r="AN28"/>
  <c r="AM28"/>
  <c r="AL28"/>
  <c r="AK28"/>
  <c r="AJ28"/>
  <c r="AI28"/>
  <c r="AH28"/>
  <c r="AG28"/>
  <c r="AF28"/>
  <c r="AE28"/>
  <c r="AD28"/>
  <c r="AC28"/>
  <c r="T28"/>
  <c r="S28"/>
  <c r="Q28"/>
  <c r="U28" s="1"/>
  <c r="P28"/>
  <c r="O28"/>
  <c r="AQ27"/>
  <c r="AP27"/>
  <c r="AO27"/>
  <c r="AN27"/>
  <c r="AM27"/>
  <c r="AL27"/>
  <c r="AK27"/>
  <c r="AJ27"/>
  <c r="AI27"/>
  <c r="AH27"/>
  <c r="AG27"/>
  <c r="AF27"/>
  <c r="AE27"/>
  <c r="AD27"/>
  <c r="AC27"/>
  <c r="T27"/>
  <c r="S27"/>
  <c r="Q27"/>
  <c r="U27" s="1"/>
  <c r="P27"/>
  <c r="O27"/>
  <c r="AQ26"/>
  <c r="AP26"/>
  <c r="AO26"/>
  <c r="AN26"/>
  <c r="AM26"/>
  <c r="AL26"/>
  <c r="AK26"/>
  <c r="AJ26"/>
  <c r="AI26"/>
  <c r="AH26"/>
  <c r="AG26"/>
  <c r="AF26"/>
  <c r="AE26"/>
  <c r="AD26"/>
  <c r="AC26"/>
  <c r="T26"/>
  <c r="S26"/>
  <c r="S33" s="1"/>
  <c r="T33" s="1"/>
  <c r="Q26"/>
  <c r="U26" s="1"/>
  <c r="P26"/>
  <c r="O26"/>
  <c r="O33" s="1"/>
  <c r="P33" s="1"/>
  <c r="AO25"/>
  <c r="AN25"/>
  <c r="N25"/>
  <c r="M25"/>
  <c r="AL25" s="1"/>
  <c r="L25"/>
  <c r="AQ25" s="1"/>
  <c r="K25"/>
  <c r="AP25" s="1"/>
  <c r="J25"/>
  <c r="I25"/>
  <c r="AH25" s="1"/>
  <c r="H25"/>
  <c r="AF25" s="1"/>
  <c r="G25"/>
  <c r="AE25" s="1"/>
  <c r="F25"/>
  <c r="E25"/>
  <c r="AD25" s="1"/>
  <c r="D25"/>
  <c r="AM25" s="1"/>
  <c r="AQ24"/>
  <c r="S24" s="1"/>
  <c r="T24" s="1"/>
  <c r="AP24"/>
  <c r="AO24"/>
  <c r="AN24"/>
  <c r="AM24"/>
  <c r="AL24"/>
  <c r="AK24"/>
  <c r="AJ24"/>
  <c r="AI24"/>
  <c r="AG24"/>
  <c r="AF24"/>
  <c r="AE24"/>
  <c r="AD24"/>
  <c r="AC24"/>
  <c r="Q24"/>
  <c r="U24" s="1"/>
  <c r="O24"/>
  <c r="AQ23"/>
  <c r="AP23"/>
  <c r="Q23" s="1"/>
  <c r="AO23"/>
  <c r="AN23"/>
  <c r="AM23"/>
  <c r="AL23"/>
  <c r="AK23"/>
  <c r="AJ23"/>
  <c r="AI23"/>
  <c r="AG23"/>
  <c r="AF23"/>
  <c r="AE23"/>
  <c r="AD23"/>
  <c r="AC23"/>
  <c r="S23"/>
  <c r="T23" s="1"/>
  <c r="O23"/>
  <c r="AQ22"/>
  <c r="S22" s="1"/>
  <c r="T22" s="1"/>
  <c r="AP22"/>
  <c r="AO22"/>
  <c r="AN22"/>
  <c r="AM22"/>
  <c r="AL22"/>
  <c r="AK22"/>
  <c r="AJ22"/>
  <c r="AI22"/>
  <c r="AG22"/>
  <c r="AF22"/>
  <c r="AE22"/>
  <c r="AD22"/>
  <c r="AC22"/>
  <c r="R22"/>
  <c r="Q22"/>
  <c r="U22" s="1"/>
  <c r="O22"/>
  <c r="AQ21"/>
  <c r="AP21"/>
  <c r="Q21" s="1"/>
  <c r="AO21"/>
  <c r="AN21"/>
  <c r="AM21"/>
  <c r="AL21"/>
  <c r="AK21"/>
  <c r="AJ21"/>
  <c r="AI21"/>
  <c r="AG21"/>
  <c r="AF21"/>
  <c r="AE21"/>
  <c r="AD21"/>
  <c r="AC21"/>
  <c r="T21"/>
  <c r="S21"/>
  <c r="O21"/>
  <c r="AQ20"/>
  <c r="S20" s="1"/>
  <c r="T20" s="1"/>
  <c r="AP20"/>
  <c r="AO20"/>
  <c r="AN20"/>
  <c r="AM20"/>
  <c r="AL20"/>
  <c r="AK20"/>
  <c r="AJ20"/>
  <c r="AI20"/>
  <c r="AG20"/>
  <c r="AF20"/>
  <c r="AE20"/>
  <c r="AD20"/>
  <c r="AC20"/>
  <c r="R20"/>
  <c r="Q20"/>
  <c r="U20" s="1"/>
  <c r="O20"/>
  <c r="AQ19"/>
  <c r="AP19"/>
  <c r="Q19" s="1"/>
  <c r="AO19"/>
  <c r="AN19"/>
  <c r="AM19"/>
  <c r="AL19"/>
  <c r="AK19"/>
  <c r="AJ19"/>
  <c r="AI19"/>
  <c r="AG19"/>
  <c r="AF19"/>
  <c r="AE19"/>
  <c r="AD19"/>
  <c r="AC19"/>
  <c r="T19"/>
  <c r="S19"/>
  <c r="O19"/>
  <c r="O25" s="1"/>
  <c r="P25" s="1"/>
  <c r="AN18"/>
  <c r="N18"/>
  <c r="AL18" s="1"/>
  <c r="M18"/>
  <c r="AK18" s="1"/>
  <c r="L18"/>
  <c r="K18"/>
  <c r="AP18" s="1"/>
  <c r="J18"/>
  <c r="AO18" s="1"/>
  <c r="I18"/>
  <c r="AG18" s="1"/>
  <c r="H18"/>
  <c r="G18"/>
  <c r="AE18" s="1"/>
  <c r="F18"/>
  <c r="AD18" s="1"/>
  <c r="E18"/>
  <c r="AC18" s="1"/>
  <c r="D18"/>
  <c r="AQ17"/>
  <c r="S17" s="1"/>
  <c r="T17" s="1"/>
  <c r="AP17"/>
  <c r="AO17"/>
  <c r="AN17"/>
  <c r="AM17"/>
  <c r="AL17"/>
  <c r="AK17"/>
  <c r="AJ17"/>
  <c r="AI17"/>
  <c r="AG17"/>
  <c r="AF17"/>
  <c r="AE17"/>
  <c r="AD17"/>
  <c r="AC17"/>
  <c r="Q17"/>
  <c r="R17" s="1"/>
  <c r="O17"/>
  <c r="AQ16"/>
  <c r="AP16"/>
  <c r="AO16"/>
  <c r="AN16"/>
  <c r="AM16"/>
  <c r="AL16"/>
  <c r="AK16"/>
  <c r="AJ16"/>
  <c r="AI16"/>
  <c r="AG16"/>
  <c r="AF16"/>
  <c r="AE16"/>
  <c r="AD16"/>
  <c r="AC16"/>
  <c r="S16"/>
  <c r="T16" s="1"/>
  <c r="R16"/>
  <c r="Q16"/>
  <c r="U16" s="1"/>
  <c r="O16"/>
  <c r="AQ15"/>
  <c r="S15" s="1"/>
  <c r="T15" s="1"/>
  <c r="AP15"/>
  <c r="AO15"/>
  <c r="AN15"/>
  <c r="AM15"/>
  <c r="AL15"/>
  <c r="AK15"/>
  <c r="AJ15"/>
  <c r="AI15"/>
  <c r="AG15"/>
  <c r="AF15"/>
  <c r="AE15"/>
  <c r="AD15"/>
  <c r="AC15"/>
  <c r="Q15"/>
  <c r="R15" s="1"/>
  <c r="O15"/>
  <c r="AT14"/>
  <c r="AS14"/>
  <c r="AQ14"/>
  <c r="S14" s="1"/>
  <c r="AP14"/>
  <c r="AO14"/>
  <c r="AN14"/>
  <c r="AM14"/>
  <c r="AL14"/>
  <c r="AK14"/>
  <c r="AJ14"/>
  <c r="AI14"/>
  <c r="AH14"/>
  <c r="AG14"/>
  <c r="AF14"/>
  <c r="AE14"/>
  <c r="AD14"/>
  <c r="AC14"/>
  <c r="R14"/>
  <c r="Q14"/>
  <c r="Q18" s="1"/>
  <c r="R18" s="1"/>
  <c r="O14"/>
  <c r="O18" s="1"/>
  <c r="P18" s="1"/>
  <c r="AP13"/>
  <c r="AO13"/>
  <c r="N13"/>
  <c r="M13"/>
  <c r="AK13" s="1"/>
  <c r="L13"/>
  <c r="AQ13" s="1"/>
  <c r="K13"/>
  <c r="AI13" s="1"/>
  <c r="J13"/>
  <c r="I13"/>
  <c r="AN13" s="1"/>
  <c r="H13"/>
  <c r="AF13" s="1"/>
  <c r="G13"/>
  <c r="AE13" s="1"/>
  <c r="F13"/>
  <c r="E13"/>
  <c r="AC13" s="1"/>
  <c r="D13"/>
  <c r="AM13" s="1"/>
  <c r="AQ12"/>
  <c r="AP12"/>
  <c r="AO12"/>
  <c r="AN12"/>
  <c r="AM12"/>
  <c r="AL12"/>
  <c r="AK12"/>
  <c r="AJ12"/>
  <c r="AI12"/>
  <c r="AG12"/>
  <c r="AF12"/>
  <c r="AE12"/>
  <c r="AD12"/>
  <c r="AC12"/>
  <c r="S12"/>
  <c r="T12" s="1"/>
  <c r="R12"/>
  <c r="Q12"/>
  <c r="U12" s="1"/>
  <c r="O12"/>
  <c r="AQ11"/>
  <c r="S11" s="1"/>
  <c r="T11" s="1"/>
  <c r="AP11"/>
  <c r="AO11"/>
  <c r="AN11"/>
  <c r="AM11"/>
  <c r="AL11"/>
  <c r="AK11"/>
  <c r="AJ11"/>
  <c r="AI11"/>
  <c r="AG11"/>
  <c r="AF11"/>
  <c r="AE11"/>
  <c r="AD11"/>
  <c r="AC11"/>
  <c r="Q11"/>
  <c r="R11" s="1"/>
  <c r="O11"/>
  <c r="AQ10"/>
  <c r="AP10"/>
  <c r="AO10"/>
  <c r="AN10"/>
  <c r="AM10"/>
  <c r="AL10"/>
  <c r="AK10"/>
  <c r="AJ10"/>
  <c r="AI10"/>
  <c r="AH10"/>
  <c r="AG10"/>
  <c r="AF10"/>
  <c r="AE10"/>
  <c r="AD10"/>
  <c r="AC10"/>
  <c r="S10"/>
  <c r="S13" s="1"/>
  <c r="T13" s="1"/>
  <c r="R10"/>
  <c r="Q10"/>
  <c r="U10" s="1"/>
  <c r="O10"/>
  <c r="O13" s="1"/>
  <c r="P13" s="1"/>
  <c r="D59" i="22"/>
  <c r="C57"/>
  <c r="C58"/>
  <c r="C59"/>
  <c r="D58"/>
  <c r="C56"/>
  <c r="D56"/>
  <c r="C55"/>
  <c r="C49"/>
  <c r="C50" s="1"/>
  <c r="E12" i="95" l="1"/>
  <c r="E13"/>
  <c r="E16"/>
  <c r="E17"/>
  <c r="E20"/>
  <c r="E24"/>
  <c r="E28"/>
  <c r="E32"/>
  <c r="E36"/>
  <c r="E40"/>
  <c r="E44"/>
  <c r="E48"/>
  <c r="E81" s="1"/>
  <c r="E32" i="97"/>
  <c r="E34"/>
  <c r="E36"/>
  <c r="E38"/>
  <c r="E40"/>
  <c r="E42"/>
  <c r="E45"/>
  <c r="E47"/>
  <c r="E49"/>
  <c r="E80" s="1"/>
  <c r="E26" i="30" s="1"/>
  <c r="C10" i="95"/>
  <c r="C12"/>
  <c r="C16"/>
  <c r="C10" i="97"/>
  <c r="C12"/>
  <c r="C14"/>
  <c r="C16"/>
  <c r="C18"/>
  <c r="C20"/>
  <c r="C22"/>
  <c r="C24"/>
  <c r="C26"/>
  <c r="C28"/>
  <c r="C30"/>
  <c r="C32"/>
  <c r="C34"/>
  <c r="C36"/>
  <c r="C38"/>
  <c r="C40"/>
  <c r="C42"/>
  <c r="C44"/>
  <c r="E29" i="94"/>
  <c r="E30" s="1"/>
  <c r="E31" s="1"/>
  <c r="E32" s="1"/>
  <c r="E33" s="1"/>
  <c r="E34" s="1"/>
  <c r="I29"/>
  <c r="I30" s="1"/>
  <c r="I31" s="1"/>
  <c r="I32" s="1"/>
  <c r="I33" s="1"/>
  <c r="I34" s="1"/>
  <c r="G20" i="90"/>
  <c r="F37"/>
  <c r="G34"/>
  <c r="K29" i="91"/>
  <c r="G17" i="92"/>
  <c r="G25" i="94"/>
  <c r="G26" s="1"/>
  <c r="G27" s="1"/>
  <c r="G28" s="1"/>
  <c r="C11" i="95"/>
  <c r="C15"/>
  <c r="C19"/>
  <c r="C23"/>
  <c r="C27"/>
  <c r="C31"/>
  <c r="C35"/>
  <c r="C39"/>
  <c r="C43"/>
  <c r="C47"/>
  <c r="E9" i="96"/>
  <c r="E11"/>
  <c r="E13"/>
  <c r="E15"/>
  <c r="E17"/>
  <c r="E19"/>
  <c r="E21"/>
  <c r="E23"/>
  <c r="E25"/>
  <c r="E27"/>
  <c r="E29"/>
  <c r="E31"/>
  <c r="E33"/>
  <c r="E35"/>
  <c r="E37"/>
  <c r="E39"/>
  <c r="E41"/>
  <c r="E43"/>
  <c r="E45"/>
  <c r="E47"/>
  <c r="E49"/>
  <c r="E80" s="1"/>
  <c r="E21" i="30" s="1"/>
  <c r="G25" i="90"/>
  <c r="F17"/>
  <c r="G21"/>
  <c r="E29"/>
  <c r="G35"/>
  <c r="G28" i="91"/>
  <c r="N24"/>
  <c r="N26"/>
  <c r="I16" i="92"/>
  <c r="Q16"/>
  <c r="M17"/>
  <c r="F7" i="95"/>
  <c r="C9"/>
  <c r="E18"/>
  <c r="C20"/>
  <c r="E22"/>
  <c r="C24"/>
  <c r="E26"/>
  <c r="C28"/>
  <c r="E30"/>
  <c r="C32"/>
  <c r="E34"/>
  <c r="C36"/>
  <c r="E38"/>
  <c r="C40"/>
  <c r="E42"/>
  <c r="C44"/>
  <c r="E46"/>
  <c r="C48"/>
  <c r="C81" s="1"/>
  <c r="C17" i="30" s="1"/>
  <c r="F8" i="95"/>
  <c r="E11"/>
  <c r="E15"/>
  <c r="G23" i="94"/>
  <c r="F48"/>
  <c r="G16" i="90"/>
  <c r="I19" i="91"/>
  <c r="N19"/>
  <c r="O16" i="92"/>
  <c r="I17"/>
  <c r="F46" i="94"/>
  <c r="C14" i="95"/>
  <c r="C18"/>
  <c r="C22"/>
  <c r="C26"/>
  <c r="C30"/>
  <c r="C34"/>
  <c r="C38"/>
  <c r="C42"/>
  <c r="C46"/>
  <c r="F83" i="89"/>
  <c r="Y41" s="1"/>
  <c r="G68"/>
  <c r="G83" s="1"/>
  <c r="U43" s="1"/>
  <c r="G27" i="90"/>
  <c r="E37"/>
  <c r="G31"/>
  <c r="K33" i="91"/>
  <c r="N38"/>
  <c r="K16" i="92"/>
  <c r="K17"/>
  <c r="P23"/>
  <c r="P24" s="1"/>
  <c r="P25" s="1"/>
  <c r="P26" s="1"/>
  <c r="P27" s="1"/>
  <c r="P28" s="1"/>
  <c r="P29" s="1"/>
  <c r="P30" s="1"/>
  <c r="P31" s="1"/>
  <c r="P32" s="1"/>
  <c r="P33" s="1"/>
  <c r="P34" s="1"/>
  <c r="P35" s="1"/>
  <c r="P36" s="1"/>
  <c r="F22" i="94"/>
  <c r="E17" i="90"/>
  <c r="E22"/>
  <c r="G19"/>
  <c r="G22" s="1"/>
  <c r="F29"/>
  <c r="G33"/>
  <c r="N13" i="91"/>
  <c r="Q13"/>
  <c r="N15"/>
  <c r="Q15"/>
  <c r="Q17"/>
  <c r="Q21" s="1"/>
  <c r="K19"/>
  <c r="Q29"/>
  <c r="K31"/>
  <c r="N37"/>
  <c r="I42" i="92"/>
  <c r="O17"/>
  <c r="H20"/>
  <c r="H21" s="1"/>
  <c r="H22" s="1"/>
  <c r="H23" s="1"/>
  <c r="H24" s="1"/>
  <c r="H25" s="1"/>
  <c r="H26" s="1"/>
  <c r="H27" s="1"/>
  <c r="H28" s="1"/>
  <c r="H29" s="1"/>
  <c r="H30" s="1"/>
  <c r="H31" s="1"/>
  <c r="H32" s="1"/>
  <c r="H33" s="1"/>
  <c r="M19"/>
  <c r="M20"/>
  <c r="N23"/>
  <c r="N24" s="1"/>
  <c r="N25" s="1"/>
  <c r="N26" s="1"/>
  <c r="N27" s="1"/>
  <c r="N28" s="1"/>
  <c r="N29" s="1"/>
  <c r="N30" s="1"/>
  <c r="N31" s="1"/>
  <c r="N32" s="1"/>
  <c r="N33" s="1"/>
  <c r="N34" s="1"/>
  <c r="N35" s="1"/>
  <c r="N36" s="1"/>
  <c r="J17" i="94"/>
  <c r="F20"/>
  <c r="G20"/>
  <c r="H20" s="1"/>
  <c r="G30" i="90"/>
  <c r="M15" i="92"/>
  <c r="G16"/>
  <c r="O21"/>
  <c r="N17" i="91"/>
  <c r="Q22"/>
  <c r="Q24"/>
  <c r="Q26"/>
  <c r="N29"/>
  <c r="C87" i="95"/>
  <c r="E17" i="30"/>
  <c r="D81" i="95"/>
  <c r="D17" i="30" s="1"/>
  <c r="C77" i="95"/>
  <c r="C12" i="30" s="1"/>
  <c r="C86" i="95"/>
  <c r="F9"/>
  <c r="F10"/>
  <c r="F11"/>
  <c r="F12"/>
  <c r="F13"/>
  <c r="F14"/>
  <c r="F15"/>
  <c r="F16"/>
  <c r="F17"/>
  <c r="F18"/>
  <c r="F19"/>
  <c r="F20"/>
  <c r="F21"/>
  <c r="F22"/>
  <c r="F23"/>
  <c r="F24"/>
  <c r="F26"/>
  <c r="F27"/>
  <c r="F28"/>
  <c r="F29"/>
  <c r="F30"/>
  <c r="F31"/>
  <c r="F32"/>
  <c r="F33"/>
  <c r="F34"/>
  <c r="F35"/>
  <c r="F36"/>
  <c r="F37"/>
  <c r="F38"/>
  <c r="F39"/>
  <c r="F40"/>
  <c r="F41"/>
  <c r="F42"/>
  <c r="F43"/>
  <c r="F44"/>
  <c r="F45"/>
  <c r="F46"/>
  <c r="F47"/>
  <c r="F48"/>
  <c r="E10" i="96"/>
  <c r="E12"/>
  <c r="E14"/>
  <c r="E16"/>
  <c r="E18"/>
  <c r="E20"/>
  <c r="E22"/>
  <c r="E24"/>
  <c r="E26"/>
  <c r="E28"/>
  <c r="E30"/>
  <c r="E32"/>
  <c r="E34"/>
  <c r="E36"/>
  <c r="E38"/>
  <c r="E40"/>
  <c r="E42"/>
  <c r="E44"/>
  <c r="E46"/>
  <c r="E48"/>
  <c r="E81" s="1"/>
  <c r="E22" i="30" s="1"/>
  <c r="C8" i="97"/>
  <c r="E9"/>
  <c r="E11"/>
  <c r="E13"/>
  <c r="E15"/>
  <c r="E17"/>
  <c r="E19"/>
  <c r="E21"/>
  <c r="E23"/>
  <c r="E25"/>
  <c r="E27"/>
  <c r="E29"/>
  <c r="E31"/>
  <c r="E33"/>
  <c r="E35"/>
  <c r="E37"/>
  <c r="E39"/>
  <c r="E41"/>
  <c r="E43"/>
  <c r="C25" i="95"/>
  <c r="C75" s="1"/>
  <c r="E8" i="96"/>
  <c r="C10"/>
  <c r="C12"/>
  <c r="C14"/>
  <c r="C16"/>
  <c r="C18"/>
  <c r="C20"/>
  <c r="C22"/>
  <c r="C24"/>
  <c r="C26"/>
  <c r="C28"/>
  <c r="C30"/>
  <c r="C32"/>
  <c r="C34"/>
  <c r="C36"/>
  <c r="C38"/>
  <c r="C40"/>
  <c r="C42"/>
  <c r="C44"/>
  <c r="C46"/>
  <c r="C48"/>
  <c r="F9" i="97"/>
  <c r="F15"/>
  <c r="F19"/>
  <c r="F21"/>
  <c r="C46"/>
  <c r="C48"/>
  <c r="C8" i="96"/>
  <c r="E9" i="95"/>
  <c r="F9" i="96"/>
  <c r="F11"/>
  <c r="F13"/>
  <c r="F15"/>
  <c r="F17"/>
  <c r="F19"/>
  <c r="F21"/>
  <c r="F23"/>
  <c r="F25"/>
  <c r="F27"/>
  <c r="F29"/>
  <c r="F31"/>
  <c r="F33"/>
  <c r="F35"/>
  <c r="E8" i="97"/>
  <c r="A59" i="98"/>
  <c r="A8"/>
  <c r="E67" i="96"/>
  <c r="A46"/>
  <c r="A47" s="1"/>
  <c r="A48" s="1"/>
  <c r="A49" s="1"/>
  <c r="A50" s="1"/>
  <c r="A51" s="1"/>
  <c r="A52" s="1"/>
  <c r="A53" s="1"/>
  <c r="A54" s="1"/>
  <c r="A55" s="1"/>
  <c r="A56" s="1"/>
  <c r="A57" s="1"/>
  <c r="A58" s="1"/>
  <c r="A59" s="1"/>
  <c r="A60" s="1"/>
  <c r="A61" s="1"/>
  <c r="A62" s="1"/>
  <c r="A63" s="1"/>
  <c r="A64" s="1"/>
  <c r="C67"/>
  <c r="E67" i="97"/>
  <c r="A46"/>
  <c r="A47" s="1"/>
  <c r="A48" s="1"/>
  <c r="A49" s="1"/>
  <c r="A50" s="1"/>
  <c r="A51" s="1"/>
  <c r="A52" s="1"/>
  <c r="A53" s="1"/>
  <c r="A54" s="1"/>
  <c r="A55" s="1"/>
  <c r="A56" s="1"/>
  <c r="A57" s="1"/>
  <c r="A58" s="1"/>
  <c r="A59" s="1"/>
  <c r="A60" s="1"/>
  <c r="A61" s="1"/>
  <c r="A62" s="1"/>
  <c r="A63" s="1"/>
  <c r="A64" s="1"/>
  <c r="C67"/>
  <c r="E75" i="96"/>
  <c r="E76" i="97"/>
  <c r="F8" i="96"/>
  <c r="F10"/>
  <c r="F12"/>
  <c r="F14"/>
  <c r="F16"/>
  <c r="F18"/>
  <c r="F20"/>
  <c r="F22"/>
  <c r="F24"/>
  <c r="F26"/>
  <c r="F28"/>
  <c r="F30"/>
  <c r="F32"/>
  <c r="F34"/>
  <c r="F36"/>
  <c r="F38"/>
  <c r="F40"/>
  <c r="F42"/>
  <c r="F44"/>
  <c r="F46"/>
  <c r="F48"/>
  <c r="F81" s="1"/>
  <c r="F22" i="30" s="1"/>
  <c r="F8" i="97"/>
  <c r="F10"/>
  <c r="F12"/>
  <c r="F14"/>
  <c r="F16"/>
  <c r="F18"/>
  <c r="F20"/>
  <c r="F22"/>
  <c r="F24"/>
  <c r="F26"/>
  <c r="F28"/>
  <c r="F30"/>
  <c r="F32"/>
  <c r="F34"/>
  <c r="F36"/>
  <c r="F38"/>
  <c r="F40"/>
  <c r="F42"/>
  <c r="F44"/>
  <c r="F46"/>
  <c r="F48"/>
  <c r="F81" s="1"/>
  <c r="F27" i="30" s="1"/>
  <c r="C9" i="96"/>
  <c r="C11"/>
  <c r="C13"/>
  <c r="C15"/>
  <c r="C17"/>
  <c r="C19"/>
  <c r="C21"/>
  <c r="C23"/>
  <c r="C25"/>
  <c r="C27"/>
  <c r="C29"/>
  <c r="C31"/>
  <c r="C33"/>
  <c r="C35"/>
  <c r="C37"/>
  <c r="C39"/>
  <c r="C41"/>
  <c r="C43"/>
  <c r="C45"/>
  <c r="C47"/>
  <c r="C49"/>
  <c r="C80" s="1"/>
  <c r="C21" i="30" s="1"/>
  <c r="C9" i="97"/>
  <c r="C11"/>
  <c r="C13"/>
  <c r="C15"/>
  <c r="C17"/>
  <c r="C19"/>
  <c r="C21"/>
  <c r="C23"/>
  <c r="C25"/>
  <c r="C27"/>
  <c r="C29"/>
  <c r="C31"/>
  <c r="C33"/>
  <c r="C35"/>
  <c r="C37"/>
  <c r="C39"/>
  <c r="C41"/>
  <c r="C43"/>
  <c r="E44"/>
  <c r="C45"/>
  <c r="E46"/>
  <c r="C47"/>
  <c r="E48"/>
  <c r="E81" s="1"/>
  <c r="C49"/>
  <c r="C80" s="1"/>
  <c r="C26" i="30" s="1"/>
  <c r="F45" i="97"/>
  <c r="F47"/>
  <c r="F78" i="95"/>
  <c r="F13" i="30" s="1"/>
  <c r="E67" i="95"/>
  <c r="A46"/>
  <c r="A47" s="1"/>
  <c r="A48" s="1"/>
  <c r="A49" s="1"/>
  <c r="A50" s="1"/>
  <c r="A51" s="1"/>
  <c r="A52" s="1"/>
  <c r="A53" s="1"/>
  <c r="A54" s="1"/>
  <c r="A55" s="1"/>
  <c r="A56" s="1"/>
  <c r="A57" s="1"/>
  <c r="A58" s="1"/>
  <c r="A59" s="1"/>
  <c r="A60" s="1"/>
  <c r="A61" s="1"/>
  <c r="A62" s="1"/>
  <c r="A63" s="1"/>
  <c r="A64" s="1"/>
  <c r="C67"/>
  <c r="K42" i="92"/>
  <c r="C89" i="95"/>
  <c r="E8"/>
  <c r="E78" s="1"/>
  <c r="E13" i="30" s="1"/>
  <c r="F49" i="95"/>
  <c r="H23" i="94"/>
  <c r="G16"/>
  <c r="G17"/>
  <c r="H18" s="1"/>
  <c r="I18"/>
  <c r="J18" s="1"/>
  <c r="F19"/>
  <c r="B21"/>
  <c r="B22" s="1"/>
  <c r="B23" s="1"/>
  <c r="I22"/>
  <c r="F23"/>
  <c r="J46"/>
  <c r="F17"/>
  <c r="I19"/>
  <c r="G21"/>
  <c r="H21" s="1"/>
  <c r="I23"/>
  <c r="H46"/>
  <c r="H19"/>
  <c r="F21"/>
  <c r="I21"/>
  <c r="J21" s="1"/>
  <c r="R43" i="93"/>
  <c r="X33"/>
  <c r="X35"/>
  <c r="X37"/>
  <c r="X39"/>
  <c r="X41"/>
  <c r="Q43"/>
  <c r="X43" s="1"/>
  <c r="N44"/>
  <c r="G45" i="92"/>
  <c r="C19"/>
  <c r="C20" s="1"/>
  <c r="I45"/>
  <c r="G44"/>
  <c r="K45"/>
  <c r="I44"/>
  <c r="K44"/>
  <c r="O18"/>
  <c r="P18"/>
  <c r="Q18" s="1"/>
  <c r="G42"/>
  <c r="Q21"/>
  <c r="M18"/>
  <c r="M22"/>
  <c r="Q22"/>
  <c r="N19"/>
  <c r="O20" s="1"/>
  <c r="O22"/>
  <c r="Q28" i="91"/>
  <c r="Q16"/>
  <c r="P21"/>
  <c r="N41"/>
  <c r="I13"/>
  <c r="K14"/>
  <c r="I15"/>
  <c r="G16"/>
  <c r="I22"/>
  <c r="K23"/>
  <c r="I24"/>
  <c r="K25"/>
  <c r="I26"/>
  <c r="K27"/>
  <c r="E28"/>
  <c r="I29"/>
  <c r="K30"/>
  <c r="I31"/>
  <c r="K32"/>
  <c r="I33"/>
  <c r="K34"/>
  <c r="E35"/>
  <c r="I35" s="1"/>
  <c r="Q37"/>
  <c r="Q38"/>
  <c r="Q39"/>
  <c r="Q40"/>
  <c r="Q56"/>
  <c r="Q57"/>
  <c r="Q58"/>
  <c r="Q59"/>
  <c r="N14"/>
  <c r="N16" s="1"/>
  <c r="I17"/>
  <c r="K18"/>
  <c r="K20"/>
  <c r="N23"/>
  <c r="N25"/>
  <c r="N27"/>
  <c r="N30"/>
  <c r="N32"/>
  <c r="N34"/>
  <c r="G36"/>
  <c r="G43" s="1"/>
  <c r="N56"/>
  <c r="N57"/>
  <c r="N58"/>
  <c r="N59"/>
  <c r="K13"/>
  <c r="I14"/>
  <c r="K15"/>
  <c r="E16"/>
  <c r="N18"/>
  <c r="N20"/>
  <c r="K22"/>
  <c r="I23"/>
  <c r="K24"/>
  <c r="I25"/>
  <c r="K26"/>
  <c r="I27"/>
  <c r="I30"/>
  <c r="I32"/>
  <c r="Q32"/>
  <c r="I34"/>
  <c r="E36"/>
  <c r="K37"/>
  <c r="K38"/>
  <c r="K39"/>
  <c r="K40"/>
  <c r="E41"/>
  <c r="I41" s="1"/>
  <c r="K57"/>
  <c r="K58"/>
  <c r="K59"/>
  <c r="K17"/>
  <c r="I18"/>
  <c r="I20"/>
  <c r="N22"/>
  <c r="G63"/>
  <c r="G64"/>
  <c r="G65"/>
  <c r="J27" i="90"/>
  <c r="J31"/>
  <c r="J19"/>
  <c r="G36"/>
  <c r="G37" s="1"/>
  <c r="J33"/>
  <c r="J21"/>
  <c r="J35"/>
  <c r="J25"/>
  <c r="F43"/>
  <c r="E43"/>
  <c r="E45" s="1"/>
  <c r="J14"/>
  <c r="J16"/>
  <c r="J18"/>
  <c r="J20"/>
  <c r="J24"/>
  <c r="J26"/>
  <c r="J28"/>
  <c r="J30"/>
  <c r="J32"/>
  <c r="J34"/>
  <c r="G15"/>
  <c r="G17" s="1"/>
  <c r="G23"/>
  <c r="G42"/>
  <c r="V12" i="89"/>
  <c r="V22"/>
  <c r="N39"/>
  <c r="H41"/>
  <c r="AF39"/>
  <c r="AM38"/>
  <c r="AQ38"/>
  <c r="T14"/>
  <c r="S18"/>
  <c r="T18" s="1"/>
  <c r="V16"/>
  <c r="Q25"/>
  <c r="R25" s="1"/>
  <c r="U19"/>
  <c r="R19"/>
  <c r="V26"/>
  <c r="V27"/>
  <c r="V28"/>
  <c r="V29"/>
  <c r="U32"/>
  <c r="V30"/>
  <c r="V31"/>
  <c r="AE39"/>
  <c r="G41"/>
  <c r="V20"/>
  <c r="U23"/>
  <c r="R23"/>
  <c r="V37"/>
  <c r="V10"/>
  <c r="U13"/>
  <c r="U21"/>
  <c r="R21"/>
  <c r="V24"/>
  <c r="AJ33"/>
  <c r="AQ33"/>
  <c r="V35"/>
  <c r="S25"/>
  <c r="T25" s="1"/>
  <c r="AD33"/>
  <c r="AL33"/>
  <c r="E39"/>
  <c r="AN38"/>
  <c r="T10"/>
  <c r="U11"/>
  <c r="Q13"/>
  <c r="R13" s="1"/>
  <c r="AD13"/>
  <c r="AH13"/>
  <c r="AL13"/>
  <c r="U15"/>
  <c r="U17"/>
  <c r="AF18"/>
  <c r="AJ18"/>
  <c r="R24"/>
  <c r="AC25"/>
  <c r="AG25"/>
  <c r="AK25"/>
  <c r="Q32"/>
  <c r="R32" s="1"/>
  <c r="AD32"/>
  <c r="AH32"/>
  <c r="AL32"/>
  <c r="AE33"/>
  <c r="AI33"/>
  <c r="AN36"/>
  <c r="M38"/>
  <c r="AD38"/>
  <c r="AH38"/>
  <c r="AP38"/>
  <c r="J39"/>
  <c r="E83"/>
  <c r="G87"/>
  <c r="AG13"/>
  <c r="U14"/>
  <c r="AI18"/>
  <c r="AM18"/>
  <c r="AQ18"/>
  <c r="AJ25"/>
  <c r="AC32"/>
  <c r="AG32"/>
  <c r="AK32"/>
  <c r="AO32"/>
  <c r="I33"/>
  <c r="AH33" s="1"/>
  <c r="Q33"/>
  <c r="R33" s="1"/>
  <c r="R34"/>
  <c r="AM36"/>
  <c r="AQ36"/>
  <c r="S36" s="1"/>
  <c r="AC38"/>
  <c r="AG38"/>
  <c r="I39"/>
  <c r="G80"/>
  <c r="G85"/>
  <c r="AJ13"/>
  <c r="AH18"/>
  <c r="AI25"/>
  <c r="R26"/>
  <c r="R27"/>
  <c r="R28"/>
  <c r="R29"/>
  <c r="R30"/>
  <c r="R31"/>
  <c r="AF32"/>
  <c r="AJ32"/>
  <c r="U34"/>
  <c r="R35"/>
  <c r="AL36"/>
  <c r="AP36"/>
  <c r="Q36" s="1"/>
  <c r="AF38"/>
  <c r="AJ38"/>
  <c r="D39"/>
  <c r="L39"/>
  <c r="F80"/>
  <c r="AM32"/>
  <c r="O36"/>
  <c r="O38" s="1"/>
  <c r="AO36"/>
  <c r="AE38"/>
  <c r="AI38"/>
  <c r="E76" i="95" l="1"/>
  <c r="E11" i="30" s="1"/>
  <c r="E75" i="95"/>
  <c r="E10" i="30" s="1"/>
  <c r="J23" i="94"/>
  <c r="J48"/>
  <c r="E35"/>
  <c r="E36" s="1"/>
  <c r="E37" s="1"/>
  <c r="E38" s="1"/>
  <c r="F47" s="1"/>
  <c r="G42" i="91"/>
  <c r="M42" i="92"/>
  <c r="C76" i="95"/>
  <c r="C11" i="30" s="1"/>
  <c r="C88" i="95"/>
  <c r="F49" i="94"/>
  <c r="I35"/>
  <c r="I36" s="1"/>
  <c r="I37" s="1"/>
  <c r="I38" s="1"/>
  <c r="J47" s="1"/>
  <c r="J50"/>
  <c r="E78" i="96"/>
  <c r="E77" i="95"/>
  <c r="H48" i="94"/>
  <c r="G29"/>
  <c r="G30" s="1"/>
  <c r="G31" s="1"/>
  <c r="G32" s="1"/>
  <c r="G33" s="1"/>
  <c r="G34" s="1"/>
  <c r="H49"/>
  <c r="J49"/>
  <c r="F44"/>
  <c r="G67" i="91"/>
  <c r="J19" i="94"/>
  <c r="H22"/>
  <c r="C10" i="30"/>
  <c r="D75" i="95"/>
  <c r="C78" i="97"/>
  <c r="C86" i="96"/>
  <c r="C78"/>
  <c r="E75" i="97"/>
  <c r="E76" i="96"/>
  <c r="C78" i="95"/>
  <c r="C13" i="30" s="1"/>
  <c r="C76" i="96"/>
  <c r="F75" i="97"/>
  <c r="E77" i="96"/>
  <c r="F81" i="95"/>
  <c r="F17" i="30" s="1"/>
  <c r="F76" i="95"/>
  <c r="F11" i="30" s="1"/>
  <c r="E27"/>
  <c r="E77" i="97"/>
  <c r="C76"/>
  <c r="C77" i="96"/>
  <c r="F75"/>
  <c r="C81" i="97"/>
  <c r="C27" i="30" s="1"/>
  <c r="F77" i="95"/>
  <c r="F12" i="30" s="1"/>
  <c r="F80" i="95"/>
  <c r="F16" i="30" s="1"/>
  <c r="C77" i="97"/>
  <c r="C88" i="96"/>
  <c r="F77" i="97"/>
  <c r="C81" i="96"/>
  <c r="C22" i="30" s="1"/>
  <c r="F75" i="95"/>
  <c r="F10" i="30" s="1"/>
  <c r="A60" i="98"/>
  <c r="A9"/>
  <c r="C87" i="96"/>
  <c r="F76" i="97"/>
  <c r="F76" i="96"/>
  <c r="D76" i="97"/>
  <c r="E78"/>
  <c r="F77" i="96"/>
  <c r="F80"/>
  <c r="F21" i="30" s="1"/>
  <c r="C75" i="96"/>
  <c r="D75" s="1"/>
  <c r="F78" i="97"/>
  <c r="F78" i="96"/>
  <c r="C75" i="97"/>
  <c r="D75" s="1"/>
  <c r="C48" i="94"/>
  <c r="B24"/>
  <c r="B25" s="1"/>
  <c r="J22"/>
  <c r="H17"/>
  <c r="H44" s="1"/>
  <c r="J20"/>
  <c r="R44" i="93"/>
  <c r="S44"/>
  <c r="N45"/>
  <c r="Q44"/>
  <c r="X44" s="1"/>
  <c r="L44" i="92"/>
  <c r="M44"/>
  <c r="O44"/>
  <c r="C21"/>
  <c r="Q44"/>
  <c r="O19"/>
  <c r="O42" s="1"/>
  <c r="P19"/>
  <c r="M16" i="91"/>
  <c r="K21"/>
  <c r="K35"/>
  <c r="K36" s="1"/>
  <c r="K16"/>
  <c r="Q41"/>
  <c r="N60"/>
  <c r="N21"/>
  <c r="E42"/>
  <c r="F35" s="1"/>
  <c r="K41"/>
  <c r="N35"/>
  <c r="N66"/>
  <c r="N65"/>
  <c r="N64"/>
  <c r="N63"/>
  <c r="P16"/>
  <c r="Q60"/>
  <c r="N28"/>
  <c r="Q35"/>
  <c r="K28"/>
  <c r="P28"/>
  <c r="J15" i="90"/>
  <c r="P28"/>
  <c r="P18"/>
  <c r="J22"/>
  <c r="P22" s="1"/>
  <c r="P27"/>
  <c r="P30"/>
  <c r="P20"/>
  <c r="P21"/>
  <c r="J23"/>
  <c r="G29"/>
  <c r="G43" s="1"/>
  <c r="J47" s="1"/>
  <c r="P32"/>
  <c r="P24"/>
  <c r="J17"/>
  <c r="P17" s="1"/>
  <c r="P14"/>
  <c r="P33"/>
  <c r="J36"/>
  <c r="P31"/>
  <c r="J42"/>
  <c r="P34"/>
  <c r="P26"/>
  <c r="P16"/>
  <c r="F46"/>
  <c r="F45"/>
  <c r="P25"/>
  <c r="P35"/>
  <c r="P19"/>
  <c r="U36" i="89"/>
  <c r="R36"/>
  <c r="Q38"/>
  <c r="R38" s="1"/>
  <c r="Q39"/>
  <c r="Q41" s="1"/>
  <c r="O39"/>
  <c r="P38"/>
  <c r="T36"/>
  <c r="S39"/>
  <c r="S41" s="1"/>
  <c r="S38"/>
  <c r="T38" s="1"/>
  <c r="M39"/>
  <c r="AK38"/>
  <c r="V15"/>
  <c r="E41"/>
  <c r="AC39"/>
  <c r="V13"/>
  <c r="Y39"/>
  <c r="AD39"/>
  <c r="AM39"/>
  <c r="U46"/>
  <c r="V34"/>
  <c r="U38"/>
  <c r="V38" s="1"/>
  <c r="U18"/>
  <c r="V14"/>
  <c r="J41"/>
  <c r="AO39"/>
  <c r="AH39"/>
  <c r="V17"/>
  <c r="V21"/>
  <c r="AI39"/>
  <c r="AL38"/>
  <c r="L41"/>
  <c r="AQ39"/>
  <c r="AJ39"/>
  <c r="I41"/>
  <c r="AN39"/>
  <c r="AG39"/>
  <c r="AN33"/>
  <c r="AG33"/>
  <c r="V32"/>
  <c r="K41"/>
  <c r="U33"/>
  <c r="U39" s="1"/>
  <c r="V11"/>
  <c r="V23"/>
  <c r="U25"/>
  <c r="V19"/>
  <c r="F41"/>
  <c r="AP39"/>
  <c r="D76" i="95" l="1"/>
  <c r="D11" i="30" s="1"/>
  <c r="G35" i="94"/>
  <c r="G36" s="1"/>
  <c r="G37" s="1"/>
  <c r="G38" s="1"/>
  <c r="H47" s="1"/>
  <c r="F50"/>
  <c r="E12" i="30"/>
  <c r="D77" i="95"/>
  <c r="D12" i="30" s="1"/>
  <c r="D81" i="96"/>
  <c r="D22" i="30" s="1"/>
  <c r="F41" i="91"/>
  <c r="J44" i="94"/>
  <c r="D76" i="96"/>
  <c r="D78" s="1"/>
  <c r="D10" i="30"/>
  <c r="D77" i="96"/>
  <c r="D81" i="97"/>
  <c r="D27" i="30" s="1"/>
  <c r="D77" i="97"/>
  <c r="D79" s="1"/>
  <c r="A61" i="98"/>
  <c r="A10"/>
  <c r="B26" i="94"/>
  <c r="B27" s="1"/>
  <c r="B28" s="1"/>
  <c r="B29" s="1"/>
  <c r="N46" i="93"/>
  <c r="Q45"/>
  <c r="X45" s="1"/>
  <c r="R45"/>
  <c r="S45"/>
  <c r="I46" i="92"/>
  <c r="K46"/>
  <c r="G46"/>
  <c r="C22"/>
  <c r="Q19"/>
  <c r="Q20"/>
  <c r="Q36" i="91"/>
  <c r="Q42" s="1"/>
  <c r="F40"/>
  <c r="G59" s="1"/>
  <c r="F39"/>
  <c r="G58" s="1"/>
  <c r="F38"/>
  <c r="G57" s="1"/>
  <c r="F37"/>
  <c r="G56" s="1"/>
  <c r="F34"/>
  <c r="F32"/>
  <c r="F30"/>
  <c r="F27"/>
  <c r="F25"/>
  <c r="F23"/>
  <c r="F14"/>
  <c r="F21"/>
  <c r="F18"/>
  <c r="F26"/>
  <c r="F15"/>
  <c r="F17"/>
  <c r="F29"/>
  <c r="F24"/>
  <c r="F13"/>
  <c r="F31"/>
  <c r="F20"/>
  <c r="F22"/>
  <c r="F19"/>
  <c r="F33"/>
  <c r="J16"/>
  <c r="J21"/>
  <c r="N36"/>
  <c r="J28"/>
  <c r="M28"/>
  <c r="K66"/>
  <c r="K65"/>
  <c r="K64"/>
  <c r="K63"/>
  <c r="K42"/>
  <c r="L36" s="1"/>
  <c r="N67"/>
  <c r="G44"/>
  <c r="M21"/>
  <c r="Q66"/>
  <c r="Q65"/>
  <c r="Q64"/>
  <c r="Q63"/>
  <c r="F16"/>
  <c r="I42"/>
  <c r="J49" i="90"/>
  <c r="G45"/>
  <c r="H31"/>
  <c r="H33"/>
  <c r="H34"/>
  <c r="H21"/>
  <c r="H28"/>
  <c r="H27"/>
  <c r="H20"/>
  <c r="H26"/>
  <c r="H14"/>
  <c r="H30"/>
  <c r="H16"/>
  <c r="H19"/>
  <c r="H24"/>
  <c r="H35"/>
  <c r="H25"/>
  <c r="H32"/>
  <c r="H18"/>
  <c r="H23"/>
  <c r="H15"/>
  <c r="H42"/>
  <c r="P42"/>
  <c r="P23"/>
  <c r="J29"/>
  <c r="P29" s="1"/>
  <c r="P15"/>
  <c r="J37"/>
  <c r="P37" s="1"/>
  <c r="U41" i="89"/>
  <c r="U44" s="1"/>
  <c r="Y26"/>
  <c r="Y28"/>
  <c r="Y10"/>
  <c r="Y24"/>
  <c r="Y22"/>
  <c r="Y31"/>
  <c r="Y37"/>
  <c r="Y12"/>
  <c r="Y16"/>
  <c r="Y27"/>
  <c r="Y29"/>
  <c r="Y20"/>
  <c r="Y30"/>
  <c r="Y35"/>
  <c r="Y14"/>
  <c r="Y34"/>
  <c r="Y17"/>
  <c r="Y23"/>
  <c r="Y19"/>
  <c r="Y15"/>
  <c r="Y13"/>
  <c r="Y21"/>
  <c r="Y32"/>
  <c r="Y11"/>
  <c r="V18"/>
  <c r="Y18"/>
  <c r="V36"/>
  <c r="Y36"/>
  <c r="O41"/>
  <c r="M41"/>
  <c r="AK39"/>
  <c r="N43"/>
  <c r="Y33"/>
  <c r="V33"/>
  <c r="N41"/>
  <c r="V25"/>
  <c r="Y25"/>
  <c r="AL39"/>
  <c r="R35" i="91" l="1"/>
  <c r="R41"/>
  <c r="D79" i="95"/>
  <c r="H50" i="94"/>
  <c r="L16" i="91"/>
  <c r="J43" i="90"/>
  <c r="K67" i="91"/>
  <c r="L35"/>
  <c r="A62" i="98"/>
  <c r="A11"/>
  <c r="C49" i="94"/>
  <c r="B30"/>
  <c r="B31" s="1"/>
  <c r="N47" i="93"/>
  <c r="Q46"/>
  <c r="X46" s="1"/>
  <c r="R46"/>
  <c r="S46"/>
  <c r="Q42" i="92"/>
  <c r="M45"/>
  <c r="C23"/>
  <c r="C24" s="1"/>
  <c r="C25" s="1"/>
  <c r="O45"/>
  <c r="Q45"/>
  <c r="L45"/>
  <c r="R42" i="91"/>
  <c r="Q44"/>
  <c r="R24"/>
  <c r="R30"/>
  <c r="R13"/>
  <c r="R23"/>
  <c r="R22"/>
  <c r="R14"/>
  <c r="R29"/>
  <c r="R34"/>
  <c r="R26"/>
  <c r="R21"/>
  <c r="R15"/>
  <c r="R27"/>
  <c r="R20"/>
  <c r="R33"/>
  <c r="R19"/>
  <c r="R31"/>
  <c r="R25"/>
  <c r="R17"/>
  <c r="R32"/>
  <c r="R40"/>
  <c r="R37"/>
  <c r="R38"/>
  <c r="R39"/>
  <c r="R16"/>
  <c r="R28"/>
  <c r="Q67"/>
  <c r="M36"/>
  <c r="N42"/>
  <c r="O36" s="1"/>
  <c r="K44"/>
  <c r="L42"/>
  <c r="L31"/>
  <c r="L19"/>
  <c r="L33"/>
  <c r="L29"/>
  <c r="L14"/>
  <c r="L37"/>
  <c r="L34"/>
  <c r="L15"/>
  <c r="L39"/>
  <c r="L25"/>
  <c r="L26"/>
  <c r="L18"/>
  <c r="L13"/>
  <c r="L24"/>
  <c r="L20"/>
  <c r="L22"/>
  <c r="L38"/>
  <c r="L23"/>
  <c r="L17"/>
  <c r="L32"/>
  <c r="L40"/>
  <c r="L30"/>
  <c r="L27"/>
  <c r="G60"/>
  <c r="K56"/>
  <c r="K60" s="1"/>
  <c r="R36"/>
  <c r="P36"/>
  <c r="L28"/>
  <c r="L21"/>
  <c r="L41"/>
  <c r="K40" i="90"/>
  <c r="K38"/>
  <c r="P43"/>
  <c r="K41"/>
  <c r="K39"/>
  <c r="J45"/>
  <c r="K21"/>
  <c r="L21" s="1"/>
  <c r="S21" s="1"/>
  <c r="K32"/>
  <c r="L32" s="1"/>
  <c r="S32" s="1"/>
  <c r="K14"/>
  <c r="K33"/>
  <c r="L33" s="1"/>
  <c r="S33" s="1"/>
  <c r="K25"/>
  <c r="L25" s="1"/>
  <c r="S25" s="1"/>
  <c r="K19"/>
  <c r="L19" s="1"/>
  <c r="S19" s="1"/>
  <c r="K28"/>
  <c r="L28" s="1"/>
  <c r="S28" s="1"/>
  <c r="K31"/>
  <c r="L31" s="1"/>
  <c r="S31" s="1"/>
  <c r="K34"/>
  <c r="L34" s="1"/>
  <c r="S34" s="1"/>
  <c r="K16"/>
  <c r="L16" s="1"/>
  <c r="S16" s="1"/>
  <c r="K30"/>
  <c r="K24"/>
  <c r="L24" s="1"/>
  <c r="S24" s="1"/>
  <c r="K35"/>
  <c r="L35" s="1"/>
  <c r="S35" s="1"/>
  <c r="K18"/>
  <c r="K27"/>
  <c r="L27" s="1"/>
  <c r="S27" s="1"/>
  <c r="K20"/>
  <c r="L20" s="1"/>
  <c r="S20" s="1"/>
  <c r="K26"/>
  <c r="L26" s="1"/>
  <c r="S26" s="1"/>
  <c r="K15"/>
  <c r="L15" s="1"/>
  <c r="S15" s="1"/>
  <c r="K36"/>
  <c r="L36" s="1"/>
  <c r="H22"/>
  <c r="H17"/>
  <c r="K23"/>
  <c r="K42"/>
  <c r="H29"/>
  <c r="H36"/>
  <c r="H37" s="1"/>
  <c r="Y38" i="89"/>
  <c r="Z39" s="1"/>
  <c r="H43" i="90" l="1"/>
  <c r="A63" i="98"/>
  <c r="A12"/>
  <c r="B32" i="94"/>
  <c r="B33" s="1"/>
  <c r="B34" s="1"/>
  <c r="S47" i="93"/>
  <c r="N48"/>
  <c r="Q47"/>
  <c r="X47" s="1"/>
  <c r="R47"/>
  <c r="O46" i="92"/>
  <c r="Q46"/>
  <c r="L46"/>
  <c r="M46"/>
  <c r="C26"/>
  <c r="O42" i="91"/>
  <c r="N44"/>
  <c r="O37"/>
  <c r="O31"/>
  <c r="O24"/>
  <c r="O38"/>
  <c r="O40"/>
  <c r="O29"/>
  <c r="O39"/>
  <c r="O13"/>
  <c r="O33"/>
  <c r="O17"/>
  <c r="R18"/>
  <c r="O26"/>
  <c r="O15"/>
  <c r="O19"/>
  <c r="O16"/>
  <c r="O23"/>
  <c r="O18"/>
  <c r="O41"/>
  <c r="O20"/>
  <c r="O32"/>
  <c r="O22"/>
  <c r="O25"/>
  <c r="O27"/>
  <c r="O30"/>
  <c r="O14"/>
  <c r="O34"/>
  <c r="O21"/>
  <c r="O35"/>
  <c r="O28"/>
  <c r="K29" i="90"/>
  <c r="L23"/>
  <c r="K37"/>
  <c r="L30"/>
  <c r="L14"/>
  <c r="K17"/>
  <c r="L42"/>
  <c r="K22"/>
  <c r="L18"/>
  <c r="K43" l="1"/>
  <c r="A64" i="98"/>
  <c r="A13"/>
  <c r="C50" i="94"/>
  <c r="C47"/>
  <c r="C44"/>
  <c r="B35"/>
  <c r="B36" s="1"/>
  <c r="R48" i="93"/>
  <c r="S48"/>
  <c r="N49"/>
  <c r="Q48"/>
  <c r="X48" s="1"/>
  <c r="L49" i="92"/>
  <c r="M49"/>
  <c r="C27"/>
  <c r="O49"/>
  <c r="Q49"/>
  <c r="L22" i="90"/>
  <c r="S22" s="1"/>
  <c r="S18"/>
  <c r="L17"/>
  <c r="S17" s="1"/>
  <c r="S14"/>
  <c r="S23"/>
  <c r="L29"/>
  <c r="S29" s="1"/>
  <c r="S42"/>
  <c r="L37"/>
  <c r="S37" s="1"/>
  <c r="S30"/>
  <c r="A65" i="98" l="1"/>
  <c r="A14"/>
  <c r="B37" i="94"/>
  <c r="B38" s="1"/>
  <c r="N50" i="93"/>
  <c r="Q49"/>
  <c r="X49" s="1"/>
  <c r="R49"/>
  <c r="S49"/>
  <c r="K47" i="92"/>
  <c r="G48"/>
  <c r="I48"/>
  <c r="G47"/>
  <c r="K48"/>
  <c r="I47"/>
  <c r="C28"/>
  <c r="C29" s="1"/>
  <c r="L43" i="90"/>
  <c r="A66" i="98" l="1"/>
  <c r="A15"/>
  <c r="N51" i="93"/>
  <c r="Q50"/>
  <c r="X50" s="1"/>
  <c r="R50"/>
  <c r="S50"/>
  <c r="Q47" i="92"/>
  <c r="L47"/>
  <c r="M47"/>
  <c r="O47"/>
  <c r="C30"/>
  <c r="L45" i="90"/>
  <c r="S43"/>
  <c r="L40"/>
  <c r="L39"/>
  <c r="L38"/>
  <c r="L41"/>
  <c r="A67" i="98" l="1"/>
  <c r="A16"/>
  <c r="S51" i="93"/>
  <c r="N52"/>
  <c r="Q51"/>
  <c r="X51" s="1"/>
  <c r="R51"/>
  <c r="L48" i="92"/>
  <c r="M48"/>
  <c r="C31"/>
  <c r="O48"/>
  <c r="Q48"/>
  <c r="A68" i="98" l="1"/>
  <c r="A17"/>
  <c r="R53" i="93"/>
  <c r="R52"/>
  <c r="S53"/>
  <c r="S52"/>
  <c r="Q53"/>
  <c r="Q52"/>
  <c r="A69" i="98" l="1"/>
  <c r="A18"/>
  <c r="AC55" i="93"/>
  <c r="X54"/>
  <c r="X53"/>
  <c r="Y54"/>
  <c r="Y53"/>
  <c r="AD53"/>
  <c r="X52"/>
  <c r="AC52"/>
  <c r="Z54"/>
  <c r="Z53"/>
  <c r="A70" i="98" l="1"/>
  <c r="A19"/>
  <c r="D85" l="1"/>
  <c r="D80"/>
  <c r="A71"/>
  <c r="D90"/>
  <c r="A20"/>
  <c r="A21" l="1"/>
  <c r="A22" l="1"/>
  <c r="A23" l="1"/>
  <c r="A24" l="1"/>
  <c r="A25" l="1"/>
  <c r="A26" l="1"/>
  <c r="A27" l="1"/>
  <c r="A28" l="1"/>
  <c r="A29" l="1"/>
  <c r="A30" l="1"/>
  <c r="A31" l="1"/>
  <c r="A32" l="1"/>
  <c r="A33" l="1"/>
  <c r="N57" l="1"/>
  <c r="A34"/>
  <c r="A35" l="1"/>
  <c r="A36" l="1"/>
  <c r="A37" l="1"/>
  <c r="A38" l="1"/>
  <c r="A39" l="1"/>
  <c r="A40" l="1"/>
  <c r="N63" l="1"/>
  <c r="A41"/>
  <c r="A42" l="1"/>
  <c r="A43" l="1"/>
  <c r="N62" l="1"/>
  <c r="A44"/>
  <c r="N58"/>
  <c r="E44" l="1"/>
  <c r="F44" s="1"/>
  <c r="G44" s="1"/>
  <c r="N59"/>
  <c r="A45"/>
  <c r="B58"/>
  <c r="B57"/>
  <c r="B59"/>
  <c r="B60"/>
  <c r="B61"/>
  <c r="B62"/>
  <c r="B63"/>
  <c r="B64"/>
  <c r="B65"/>
  <c r="B66"/>
  <c r="B67"/>
  <c r="B68"/>
  <c r="B69"/>
  <c r="B71"/>
  <c r="B70"/>
  <c r="E40"/>
  <c r="F40" s="1"/>
  <c r="G40" s="1"/>
  <c r="E42"/>
  <c r="F42" s="1"/>
  <c r="G42" s="1"/>
  <c r="E38"/>
  <c r="F38" s="1"/>
  <c r="G38" s="1"/>
  <c r="E36"/>
  <c r="F36" s="1"/>
  <c r="G36" s="1"/>
  <c r="A46" l="1"/>
  <c r="A47" s="1"/>
  <c r="B56" s="1"/>
  <c r="N60"/>
  <c r="N56"/>
  <c r="E45"/>
  <c r="F45" s="1"/>
  <c r="G45" s="1"/>
  <c r="B51"/>
  <c r="N64"/>
  <c r="E5"/>
  <c r="F5" s="1"/>
  <c r="E6"/>
  <c r="F6" s="1"/>
  <c r="G6" s="1"/>
  <c r="E7"/>
  <c r="F7" s="1"/>
  <c r="G7" s="1"/>
  <c r="E8"/>
  <c r="F8" s="1"/>
  <c r="G8" s="1"/>
  <c r="E9"/>
  <c r="F9" s="1"/>
  <c r="G9" s="1"/>
  <c r="E10"/>
  <c r="F10" s="1"/>
  <c r="G10" s="1"/>
  <c r="E11"/>
  <c r="F11" s="1"/>
  <c r="G11" s="1"/>
  <c r="E12"/>
  <c r="F12" s="1"/>
  <c r="G12" s="1"/>
  <c r="E13"/>
  <c r="F13" s="1"/>
  <c r="G13" s="1"/>
  <c r="E14"/>
  <c r="F14" s="1"/>
  <c r="G14" s="1"/>
  <c r="E15"/>
  <c r="F15" s="1"/>
  <c r="G15" s="1"/>
  <c r="E16"/>
  <c r="F16" s="1"/>
  <c r="G16" s="1"/>
  <c r="E17"/>
  <c r="F17" s="1"/>
  <c r="G17" s="1"/>
  <c r="E18"/>
  <c r="F18" s="1"/>
  <c r="G18" s="1"/>
  <c r="E19"/>
  <c r="F19" s="1"/>
  <c r="G19" s="1"/>
  <c r="E20"/>
  <c r="F20" s="1"/>
  <c r="G20" s="1"/>
  <c r="E21"/>
  <c r="F21" s="1"/>
  <c r="G21" s="1"/>
  <c r="E22"/>
  <c r="F22" s="1"/>
  <c r="G22" s="1"/>
  <c r="E23"/>
  <c r="F23" s="1"/>
  <c r="G23" s="1"/>
  <c r="E24"/>
  <c r="F24" s="1"/>
  <c r="G24" s="1"/>
  <c r="E25"/>
  <c r="F25" s="1"/>
  <c r="G25" s="1"/>
  <c r="E26"/>
  <c r="F26" s="1"/>
  <c r="G26" s="1"/>
  <c r="E27"/>
  <c r="F27" s="1"/>
  <c r="G27" s="1"/>
  <c r="E28"/>
  <c r="F28" s="1"/>
  <c r="G28" s="1"/>
  <c r="E29"/>
  <c r="F29" s="1"/>
  <c r="G29" s="1"/>
  <c r="E30"/>
  <c r="F30" s="1"/>
  <c r="G30" s="1"/>
  <c r="E31"/>
  <c r="F31" s="1"/>
  <c r="G31" s="1"/>
  <c r="E32"/>
  <c r="F32" s="1"/>
  <c r="G32" s="1"/>
  <c r="E33"/>
  <c r="F33" s="1"/>
  <c r="G33" s="1"/>
  <c r="E34"/>
  <c r="F34" s="1"/>
  <c r="G34" s="1"/>
  <c r="E43"/>
  <c r="F43" s="1"/>
  <c r="G43" s="1"/>
  <c r="E39"/>
  <c r="F39" s="1"/>
  <c r="G39" s="1"/>
  <c r="E41"/>
  <c r="F41" s="1"/>
  <c r="G41" s="1"/>
  <c r="E37"/>
  <c r="F37" s="1"/>
  <c r="G37" s="1"/>
  <c r="E35"/>
  <c r="F35" s="1"/>
  <c r="G35" s="1"/>
  <c r="F50" l="1"/>
  <c r="G5"/>
  <c r="G50" s="1"/>
  <c r="O36" i="62" l="1"/>
  <c r="N36"/>
  <c r="M36"/>
  <c r="L36"/>
  <c r="O29"/>
  <c r="O30"/>
  <c r="O31"/>
  <c r="O32"/>
  <c r="O33"/>
  <c r="O34"/>
  <c r="N30"/>
  <c r="N31"/>
  <c r="N32"/>
  <c r="N33"/>
  <c r="N34"/>
  <c r="M30"/>
  <c r="M31"/>
  <c r="M32"/>
  <c r="M33"/>
  <c r="M34"/>
  <c r="L30"/>
  <c r="L31"/>
  <c r="L32"/>
  <c r="L33"/>
  <c r="L34"/>
  <c r="L29"/>
  <c r="L24"/>
  <c r="G36"/>
  <c r="F36"/>
  <c r="E36"/>
  <c r="D36"/>
  <c r="G49"/>
  <c r="E49"/>
  <c r="F49"/>
  <c r="D49"/>
  <c r="G48"/>
  <c r="F48"/>
  <c r="D48"/>
  <c r="D46"/>
  <c r="D47"/>
  <c r="J15" i="21" l="1"/>
  <c r="G96" i="67"/>
  <c r="G97"/>
  <c r="G98"/>
  <c r="G99"/>
  <c r="F99"/>
  <c r="E99"/>
  <c r="F98"/>
  <c r="F96"/>
  <c r="F97"/>
  <c r="E98"/>
  <c r="E97"/>
  <c r="E96"/>
  <c r="J13" i="88" l="1"/>
  <c r="K13"/>
  <c r="J14"/>
  <c r="K14"/>
  <c r="J15"/>
  <c r="K15"/>
  <c r="J16"/>
  <c r="K16"/>
  <c r="J17"/>
  <c r="K17"/>
  <c r="J18"/>
  <c r="K18"/>
  <c r="J19"/>
  <c r="K19"/>
  <c r="J20"/>
  <c r="K20"/>
  <c r="J21"/>
  <c r="K21"/>
  <c r="J22"/>
  <c r="K22"/>
  <c r="J23"/>
  <c r="K23"/>
  <c r="J24"/>
  <c r="K24"/>
  <c r="J25"/>
  <c r="K25"/>
  <c r="J26"/>
  <c r="K26"/>
  <c r="J27"/>
  <c r="K27"/>
  <c r="K12"/>
  <c r="J12"/>
  <c r="H28" i="67"/>
  <c r="B67" l="1"/>
  <c r="B68"/>
  <c r="B69" s="1"/>
  <c r="B70" s="1"/>
  <c r="B71" s="1"/>
  <c r="B72" s="1"/>
  <c r="B73" s="1"/>
  <c r="B74" s="1"/>
  <c r="B75" s="1"/>
  <c r="B76" s="1"/>
  <c r="B77" s="1"/>
  <c r="B78" s="1"/>
  <c r="B79" s="1"/>
  <c r="B80" s="1"/>
  <c r="B81" s="1"/>
  <c r="B82" s="1"/>
  <c r="B83" s="1"/>
  <c r="B84" s="1"/>
  <c r="B85" s="1"/>
  <c r="B86" s="1"/>
  <c r="B87" s="1"/>
  <c r="B88" s="1"/>
  <c r="H73"/>
  <c r="K73" s="1"/>
  <c r="I73"/>
  <c r="L73" s="1"/>
  <c r="J73"/>
  <c r="J75" s="1"/>
  <c r="H75"/>
  <c r="H76"/>
  <c r="K76" s="1"/>
  <c r="I76"/>
  <c r="H77"/>
  <c r="K77" s="1"/>
  <c r="I77"/>
  <c r="L77" s="1"/>
  <c r="J77"/>
  <c r="H78"/>
  <c r="J78"/>
  <c r="M78" s="1"/>
  <c r="K78"/>
  <c r="H79"/>
  <c r="K79"/>
  <c r="H80"/>
  <c r="I80"/>
  <c r="K80"/>
  <c r="H81"/>
  <c r="K81" s="1"/>
  <c r="I81"/>
  <c r="J81"/>
  <c r="L81"/>
  <c r="H82"/>
  <c r="I82"/>
  <c r="L82" s="1"/>
  <c r="J82"/>
  <c r="M82"/>
  <c r="H83"/>
  <c r="J83"/>
  <c r="M83" s="1"/>
  <c r="K83"/>
  <c r="H84"/>
  <c r="I84"/>
  <c r="K84"/>
  <c r="H85"/>
  <c r="K85" s="1"/>
  <c r="I85"/>
  <c r="J85"/>
  <c r="L85"/>
  <c r="H86"/>
  <c r="I86"/>
  <c r="L86" s="1"/>
  <c r="J86"/>
  <c r="M86"/>
  <c r="H87"/>
  <c r="J87"/>
  <c r="M87" s="1"/>
  <c r="K87"/>
  <c r="H88"/>
  <c r="I88"/>
  <c r="K88"/>
  <c r="H29"/>
  <c r="J28"/>
  <c r="M28" s="1"/>
  <c r="I28"/>
  <c r="L28" s="1"/>
  <c r="K28"/>
  <c r="I29"/>
  <c r="L29" s="1"/>
  <c r="H30"/>
  <c r="H31" s="1"/>
  <c r="M75" l="1"/>
  <c r="J74"/>
  <c r="M74" s="1"/>
  <c r="M73"/>
  <c r="K86"/>
  <c r="K82"/>
  <c r="J88"/>
  <c r="M88" s="1"/>
  <c r="I87"/>
  <c r="J84"/>
  <c r="I83"/>
  <c r="J80"/>
  <c r="I79"/>
  <c r="J76"/>
  <c r="I75"/>
  <c r="H74"/>
  <c r="J79"/>
  <c r="M79" s="1"/>
  <c r="I78"/>
  <c r="L78" s="1"/>
  <c r="I74"/>
  <c r="L74" s="1"/>
  <c r="H32"/>
  <c r="H33" s="1"/>
  <c r="H34" s="1"/>
  <c r="H35" s="1"/>
  <c r="H36" s="1"/>
  <c r="H37" s="1"/>
  <c r="H38" s="1"/>
  <c r="H39" s="1"/>
  <c r="H40" s="1"/>
  <c r="H41" s="1"/>
  <c r="H42" s="1"/>
  <c r="K42" s="1"/>
  <c r="K31"/>
  <c r="K29"/>
  <c r="J29"/>
  <c r="I30"/>
  <c r="K30"/>
  <c r="B60"/>
  <c r="B61" s="1"/>
  <c r="B62" s="1"/>
  <c r="B63" s="1"/>
  <c r="B64" s="1"/>
  <c r="B65" s="1"/>
  <c r="B66" s="1"/>
  <c r="L75" l="1"/>
  <c r="L76"/>
  <c r="L83"/>
  <c r="L84"/>
  <c r="K74"/>
  <c r="K75"/>
  <c r="M80"/>
  <c r="M81"/>
  <c r="L87"/>
  <c r="L88"/>
  <c r="L79"/>
  <c r="L80"/>
  <c r="M76"/>
  <c r="M77"/>
  <c r="M84"/>
  <c r="M85"/>
  <c r="L30"/>
  <c r="I31"/>
  <c r="I32" s="1"/>
  <c r="J30"/>
  <c r="M29"/>
  <c r="D42" i="85"/>
  <c r="U103"/>
  <c r="L103"/>
  <c r="T103"/>
  <c r="S103"/>
  <c r="R103"/>
  <c r="Q103"/>
  <c r="P103"/>
  <c r="O103"/>
  <c r="N103"/>
  <c r="M103"/>
  <c r="N48" i="87"/>
  <c r="N49"/>
  <c r="N50"/>
  <c r="N42"/>
  <c r="N46"/>
  <c r="N47"/>
  <c r="I47"/>
  <c r="I48"/>
  <c r="H47"/>
  <c r="H48"/>
  <c r="G48"/>
  <c r="G47"/>
  <c r="N8"/>
  <c r="N9"/>
  <c r="N10"/>
  <c r="N11"/>
  <c r="N12"/>
  <c r="N13"/>
  <c r="N14"/>
  <c r="N15"/>
  <c r="N16"/>
  <c r="N17"/>
  <c r="N18"/>
  <c r="N19"/>
  <c r="N20"/>
  <c r="N21"/>
  <c r="N22"/>
  <c r="N23"/>
  <c r="N24"/>
  <c r="N25"/>
  <c r="N26"/>
  <c r="N27"/>
  <c r="N28"/>
  <c r="N29"/>
  <c r="N30"/>
  <c r="N31"/>
  <c r="N32"/>
  <c r="N33"/>
  <c r="N34"/>
  <c r="N35"/>
  <c r="N36"/>
  <c r="N37"/>
  <c r="N38"/>
  <c r="N39"/>
  <c r="N40"/>
  <c r="N41"/>
  <c r="O8"/>
  <c r="N43"/>
  <c r="N44"/>
  <c r="N45"/>
  <c r="N7"/>
  <c r="L12"/>
  <c r="L13"/>
  <c r="L14"/>
  <c r="L15"/>
  <c r="L16"/>
  <c r="L17"/>
  <c r="L18"/>
  <c r="L19"/>
  <c r="L20"/>
  <c r="L21"/>
  <c r="L22"/>
  <c r="L23"/>
  <c r="L24"/>
  <c r="L25"/>
  <c r="L26"/>
  <c r="L27"/>
  <c r="L28"/>
  <c r="L29"/>
  <c r="L30"/>
  <c r="L31"/>
  <c r="L32"/>
  <c r="L33"/>
  <c r="L34"/>
  <c r="L35"/>
  <c r="L36"/>
  <c r="L37"/>
  <c r="L38"/>
  <c r="L39"/>
  <c r="L40"/>
  <c r="L41"/>
  <c r="L42"/>
  <c r="L43"/>
  <c r="L44"/>
  <c r="L45"/>
  <c r="L46"/>
  <c r="L47"/>
  <c r="L48"/>
  <c r="L49"/>
  <c r="L50"/>
  <c r="L8"/>
  <c r="L9"/>
  <c r="L10"/>
  <c r="L11"/>
  <c r="L7"/>
  <c r="H46"/>
  <c r="D49"/>
  <c r="L32" i="67" l="1"/>
  <c r="I33"/>
  <c r="J31"/>
  <c r="J32" s="1"/>
  <c r="J33" s="1"/>
  <c r="J34" s="1"/>
  <c r="J35" s="1"/>
  <c r="J36" s="1"/>
  <c r="J37" s="1"/>
  <c r="J38" s="1"/>
  <c r="J39" s="1"/>
  <c r="J40" s="1"/>
  <c r="J41" s="1"/>
  <c r="J42" s="1"/>
  <c r="M42" s="1"/>
  <c r="M30"/>
  <c r="U104" i="85"/>
  <c r="S104"/>
  <c r="O104"/>
  <c r="T104"/>
  <c r="R104"/>
  <c r="Q104"/>
  <c r="P104"/>
  <c r="N104"/>
  <c r="M104"/>
  <c r="O7" i="87"/>
  <c r="G50"/>
  <c r="L33" i="67" l="1"/>
  <c r="I34"/>
  <c r="I35" s="1"/>
  <c r="A9" i="87"/>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8"/>
  <c r="O13" i="48"/>
  <c r="L35" i="67" l="1"/>
  <c r="I36"/>
  <c r="I37" s="1"/>
  <c r="I38" s="1"/>
  <c r="I39" s="1"/>
  <c r="I40" s="1"/>
  <c r="I41" s="1"/>
  <c r="I42" s="1"/>
  <c r="L42" s="1"/>
  <c r="M31"/>
  <c r="L31"/>
  <c r="J98" i="73"/>
  <c r="J97"/>
  <c r="J96"/>
  <c r="J95"/>
  <c r="J94"/>
  <c r="J93"/>
  <c r="J92"/>
  <c r="J91"/>
  <c r="M32" i="67" l="1"/>
  <c r="K32"/>
  <c r="L12" i="85"/>
  <c r="L10"/>
  <c r="K10"/>
  <c r="L42"/>
  <c r="M33" i="67" l="1"/>
  <c r="K33"/>
  <c r="V37" i="85"/>
  <c r="T76"/>
  <c r="U76"/>
  <c r="S76"/>
  <c r="U69"/>
  <c r="T69"/>
  <c r="S69"/>
  <c r="U68"/>
  <c r="T68"/>
  <c r="S68"/>
  <c r="W76"/>
  <c r="W69"/>
  <c r="M69"/>
  <c r="M68"/>
  <c r="L68"/>
  <c r="D51"/>
  <c r="M60"/>
  <c r="M59"/>
  <c r="M58"/>
  <c r="M57"/>
  <c r="L59"/>
  <c r="L60"/>
  <c r="L58"/>
  <c r="L57"/>
  <c r="L56"/>
  <c r="N49"/>
  <c r="N48"/>
  <c r="N47"/>
  <c r="L51"/>
  <c r="L50"/>
  <c r="L49"/>
  <c r="K50"/>
  <c r="K51"/>
  <c r="K49"/>
  <c r="I49"/>
  <c r="I50"/>
  <c r="I51"/>
  <c r="I48"/>
  <c r="H49"/>
  <c r="H51"/>
  <c r="H50"/>
  <c r="H48"/>
  <c r="H10"/>
  <c r="G49"/>
  <c r="G50"/>
  <c r="G51"/>
  <c r="G48"/>
  <c r="F51"/>
  <c r="F49"/>
  <c r="F50"/>
  <c r="F48"/>
  <c r="D49"/>
  <c r="D50"/>
  <c r="D9"/>
  <c r="A1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10"/>
  <c r="M34" i="67" l="1"/>
  <c r="L34"/>
  <c r="K34"/>
  <c r="C70" i="73"/>
  <c r="C48"/>
  <c r="J29"/>
  <c r="K29"/>
  <c r="K72"/>
  <c r="K73"/>
  <c r="K74"/>
  <c r="K75"/>
  <c r="K76"/>
  <c r="K77"/>
  <c r="K78"/>
  <c r="K79"/>
  <c r="M35" i="67" l="1"/>
  <c r="K35"/>
  <c r="J55" i="73"/>
  <c r="J77"/>
  <c r="J78"/>
  <c r="C103"/>
  <c r="G60"/>
  <c r="G82"/>
  <c r="G103"/>
  <c r="G78"/>
  <c r="F66"/>
  <c r="G77" s="1"/>
  <c r="G76"/>
  <c r="G74"/>
  <c r="G75" s="1"/>
  <c r="G73"/>
  <c r="G52"/>
  <c r="G53" s="1"/>
  <c r="G54" s="1"/>
  <c r="G51"/>
  <c r="F44"/>
  <c r="F87"/>
  <c r="G97"/>
  <c r="G95"/>
  <c r="G96" s="1"/>
  <c r="G94"/>
  <c r="G100"/>
  <c r="G99"/>
  <c r="D57"/>
  <c r="D56"/>
  <c r="D55"/>
  <c r="C31"/>
  <c r="D31"/>
  <c r="C38"/>
  <c r="D103"/>
  <c r="D60"/>
  <c r="A50"/>
  <c r="A16"/>
  <c r="F50"/>
  <c r="I97"/>
  <c r="I76"/>
  <c r="J48"/>
  <c r="J49"/>
  <c r="I48"/>
  <c r="J30"/>
  <c r="K30"/>
  <c r="K31"/>
  <c r="I23"/>
  <c r="I24"/>
  <c r="I25"/>
  <c r="I26"/>
  <c r="I27"/>
  <c r="I28"/>
  <c r="I29"/>
  <c r="I30"/>
  <c r="I31"/>
  <c r="I32"/>
  <c r="I22"/>
  <c r="J22"/>
  <c r="J32"/>
  <c r="K32"/>
  <c r="J70"/>
  <c r="K70" s="1"/>
  <c r="D99"/>
  <c r="D100" s="1"/>
  <c r="D82"/>
  <c r="D78"/>
  <c r="D79" s="1"/>
  <c r="D98"/>
  <c r="D77"/>
  <c r="F86"/>
  <c r="F43"/>
  <c r="F65"/>
  <c r="F85"/>
  <c r="G93"/>
  <c r="D96"/>
  <c r="D97" s="1"/>
  <c r="D95"/>
  <c r="D94"/>
  <c r="D93"/>
  <c r="D92"/>
  <c r="C92" s="1"/>
  <c r="D91"/>
  <c r="E93"/>
  <c r="C93" s="1"/>
  <c r="E91"/>
  <c r="F93"/>
  <c r="F92"/>
  <c r="G92"/>
  <c r="E92" s="1"/>
  <c r="G72"/>
  <c r="G50"/>
  <c r="G71"/>
  <c r="G49"/>
  <c r="A97"/>
  <c r="F64"/>
  <c r="F72"/>
  <c r="F42"/>
  <c r="M36" i="67" l="1"/>
  <c r="L36"/>
  <c r="K36"/>
  <c r="G55" i="73"/>
  <c r="F103"/>
  <c r="E97"/>
  <c r="C97" s="1"/>
  <c r="I54"/>
  <c r="F49"/>
  <c r="C32"/>
  <c r="C39"/>
  <c r="F37"/>
  <c r="F36"/>
  <c r="F35"/>
  <c r="F39"/>
  <c r="E32"/>
  <c r="E39" s="1"/>
  <c r="E16"/>
  <c r="I16"/>
  <c r="H16"/>
  <c r="E15"/>
  <c r="E14"/>
  <c r="E30" s="1"/>
  <c r="G30" s="1"/>
  <c r="G32"/>
  <c r="D32"/>
  <c r="A22"/>
  <c r="A23" s="1"/>
  <c r="A24" s="1"/>
  <c r="A25" s="1"/>
  <c r="A26" s="1"/>
  <c r="A27" s="1"/>
  <c r="A28" s="1"/>
  <c r="A29" s="1"/>
  <c r="A30" s="1"/>
  <c r="A31" s="1"/>
  <c r="A32" s="1"/>
  <c r="H15"/>
  <c r="I15"/>
  <c r="H14"/>
  <c r="E12"/>
  <c r="E13"/>
  <c r="E11"/>
  <c r="A6"/>
  <c r="A7" s="1"/>
  <c r="A8" s="1"/>
  <c r="A9" s="1"/>
  <c r="A10" s="1"/>
  <c r="A11" s="1"/>
  <c r="A12" s="1"/>
  <c r="A13" s="1"/>
  <c r="A14" s="1"/>
  <c r="A15" s="1"/>
  <c r="C13" i="88"/>
  <c r="C14" s="1"/>
  <c r="C15" s="1"/>
  <c r="C16" s="1"/>
  <c r="C17" s="1"/>
  <c r="C18" s="1"/>
  <c r="C19" s="1"/>
  <c r="C20" s="1"/>
  <c r="C21" s="1"/>
  <c r="C22" s="1"/>
  <c r="C23" s="1"/>
  <c r="C24" s="1"/>
  <c r="C25" s="1"/>
  <c r="C26" s="1"/>
  <c r="C27" s="1"/>
  <c r="C12"/>
  <c r="M37" i="67" l="1"/>
  <c r="L37"/>
  <c r="K37"/>
  <c r="G56" i="73"/>
  <c r="G57" s="1"/>
  <c r="D72"/>
  <c r="D50"/>
  <c r="D39"/>
  <c r="F60"/>
  <c r="G39"/>
  <c r="M38" i="67" l="1"/>
  <c r="L38"/>
  <c r="K38"/>
  <c r="E50" i="73"/>
  <c r="C50" s="1"/>
  <c r="E72"/>
  <c r="D51"/>
  <c r="D52" s="1"/>
  <c r="D53" s="1"/>
  <c r="M39" i="67" l="1"/>
  <c r="L39"/>
  <c r="K39"/>
  <c r="G79" i="73"/>
  <c r="E52"/>
  <c r="D54"/>
  <c r="M40" i="67" l="1"/>
  <c r="L40"/>
  <c r="K40"/>
  <c r="E53" i="73"/>
  <c r="C53" s="1"/>
  <c r="M41" i="67" l="1"/>
  <c r="L41"/>
  <c r="K41"/>
  <c r="E54" i="73"/>
  <c r="C54" s="1"/>
  <c r="J54" s="1"/>
  <c r="E55" l="1"/>
  <c r="C55" l="1"/>
  <c r="E60"/>
  <c r="AB28" i="48" l="1"/>
  <c r="AA28" l="1"/>
  <c r="T13" l="1"/>
  <c r="T14"/>
  <c r="T15" s="1"/>
  <c r="T16" s="1"/>
  <c r="T17" s="1"/>
  <c r="T18" s="1"/>
  <c r="T19" s="1"/>
  <c r="T20" s="1"/>
  <c r="T21" s="1"/>
  <c r="T22" s="1"/>
  <c r="T23" s="1"/>
  <c r="T24" s="1"/>
  <c r="T25" s="1"/>
  <c r="T26" s="1"/>
  <c r="T27" s="1"/>
  <c r="T28" s="1"/>
  <c r="T12"/>
  <c r="Q12"/>
  <c r="Q13"/>
  <c r="Q14"/>
  <c r="Q15"/>
  <c r="Q16"/>
  <c r="Q17"/>
  <c r="Q18"/>
  <c r="Q19"/>
  <c r="Q20"/>
  <c r="Q21"/>
  <c r="Q22"/>
  <c r="Q23"/>
  <c r="Q24"/>
  <c r="Q25"/>
  <c r="Q26"/>
  <c r="Q27"/>
  <c r="Q28"/>
  <c r="G28" s="1"/>
  <c r="Q11"/>
  <c r="P28"/>
  <c r="E28" s="1"/>
  <c r="O28"/>
  <c r="C28" s="1"/>
  <c r="B28"/>
  <c r="P12"/>
  <c r="P13"/>
  <c r="P14"/>
  <c r="P15"/>
  <c r="P16"/>
  <c r="P17"/>
  <c r="P18"/>
  <c r="P19"/>
  <c r="P20"/>
  <c r="P21"/>
  <c r="P22"/>
  <c r="P23"/>
  <c r="P24"/>
  <c r="P25"/>
  <c r="P26"/>
  <c r="P27"/>
  <c r="P11"/>
  <c r="O12"/>
  <c r="C12" s="1"/>
  <c r="D12" s="1"/>
  <c r="O14"/>
  <c r="O15"/>
  <c r="O16"/>
  <c r="O17"/>
  <c r="O18"/>
  <c r="O19"/>
  <c r="O20"/>
  <c r="O21"/>
  <c r="O22"/>
  <c r="O23"/>
  <c r="O24"/>
  <c r="O25"/>
  <c r="O26"/>
  <c r="O27"/>
  <c r="C27" s="1"/>
  <c r="C31" s="1"/>
  <c r="O11"/>
  <c r="C11" s="1"/>
  <c r="H32" i="21"/>
  <c r="I32"/>
  <c r="K29"/>
  <c r="J20"/>
  <c r="J21"/>
  <c r="J22"/>
  <c r="J23"/>
  <c r="J24"/>
  <c r="J25"/>
  <c r="J26"/>
  <c r="J27"/>
  <c r="J28"/>
  <c r="J29"/>
  <c r="K32" s="1"/>
  <c r="J19"/>
  <c r="H20"/>
  <c r="H21"/>
  <c r="H22"/>
  <c r="H23"/>
  <c r="H24"/>
  <c r="H25"/>
  <c r="H26"/>
  <c r="H27"/>
  <c r="H28"/>
  <c r="H29"/>
  <c r="H19"/>
  <c r="H15"/>
  <c r="G32"/>
  <c r="F32"/>
  <c r="E32"/>
  <c r="F29"/>
  <c r="G29"/>
  <c r="C29"/>
  <c r="D29" s="1"/>
  <c r="E29" s="1"/>
  <c r="B29"/>
  <c r="D15"/>
  <c r="H13"/>
  <c r="I13"/>
  <c r="E13"/>
  <c r="E34"/>
  <c r="D28" i="48" l="1"/>
  <c r="J32" i="21"/>
  <c r="I29"/>
  <c r="C14" i="48" l="1"/>
  <c r="C15"/>
  <c r="C16"/>
  <c r="D16" s="1"/>
  <c r="C17"/>
  <c r="C18"/>
  <c r="C19"/>
  <c r="C20"/>
  <c r="D20" s="1"/>
  <c r="C21"/>
  <c r="C22"/>
  <c r="C23"/>
  <c r="C24"/>
  <c r="C25"/>
  <c r="C26"/>
  <c r="C13"/>
  <c r="D13" s="1"/>
  <c r="G15"/>
  <c r="G16"/>
  <c r="G17"/>
  <c r="G18"/>
  <c r="H18" s="1"/>
  <c r="G19"/>
  <c r="H19" s="1"/>
  <c r="G20"/>
  <c r="G21"/>
  <c r="G22"/>
  <c r="H22" s="1"/>
  <c r="G23"/>
  <c r="G24"/>
  <c r="G25"/>
  <c r="G26"/>
  <c r="H26" s="1"/>
  <c r="G27"/>
  <c r="H28" s="1"/>
  <c r="G14"/>
  <c r="H15" l="1"/>
  <c r="H27"/>
  <c r="H25"/>
  <c r="H21"/>
  <c r="H17"/>
  <c r="H23"/>
  <c r="D24"/>
  <c r="H24"/>
  <c r="H20"/>
  <c r="H16"/>
  <c r="D27"/>
  <c r="D23"/>
  <c r="D19"/>
  <c r="D21"/>
  <c r="D17"/>
  <c r="D25"/>
  <c r="D26"/>
  <c r="D22"/>
  <c r="D18"/>
  <c r="D14"/>
  <c r="D15"/>
  <c r="E27"/>
  <c r="F28" s="1"/>
  <c r="AA14" l="1"/>
  <c r="AB14"/>
  <c r="AA15"/>
  <c r="AB15"/>
  <c r="AA16"/>
  <c r="AB16"/>
  <c r="AA17"/>
  <c r="AB17"/>
  <c r="AA18"/>
  <c r="AB18"/>
  <c r="AA19"/>
  <c r="AB19"/>
  <c r="AA20"/>
  <c r="AB20"/>
  <c r="AA21"/>
  <c r="AB21"/>
  <c r="AA22"/>
  <c r="AB22"/>
  <c r="AA23"/>
  <c r="AB23"/>
  <c r="AA24"/>
  <c r="AB24"/>
  <c r="AA25"/>
  <c r="AB25"/>
  <c r="AA26"/>
  <c r="AB26"/>
  <c r="AA27"/>
  <c r="AB27"/>
  <c r="AB12"/>
  <c r="AA12"/>
  <c r="B14" i="67"/>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D48" i="87"/>
  <c r="D47"/>
  <c r="D46"/>
  <c r="H45"/>
  <c r="D45"/>
  <c r="H44"/>
  <c r="D44"/>
  <c r="H43"/>
  <c r="D43"/>
  <c r="H42"/>
  <c r="D42"/>
  <c r="H41"/>
  <c r="D41"/>
  <c r="H40"/>
  <c r="D40"/>
  <c r="H39"/>
  <c r="D39"/>
  <c r="H38"/>
  <c r="D38"/>
  <c r="H37"/>
  <c r="D37"/>
  <c r="H36"/>
  <c r="D36"/>
  <c r="H35"/>
  <c r="I35" s="1"/>
  <c r="D35"/>
  <c r="H34"/>
  <c r="D34"/>
  <c r="H33"/>
  <c r="I33" s="1"/>
  <c r="D33"/>
  <c r="H32"/>
  <c r="D32"/>
  <c r="H31"/>
  <c r="I31" s="1"/>
  <c r="D31"/>
  <c r="H30"/>
  <c r="D30"/>
  <c r="H29"/>
  <c r="I29" s="1"/>
  <c r="D29"/>
  <c r="H28"/>
  <c r="D28"/>
  <c r="H27"/>
  <c r="I27" s="1"/>
  <c r="D27"/>
  <c r="H26"/>
  <c r="D26"/>
  <c r="H25"/>
  <c r="I25" s="1"/>
  <c r="D25"/>
  <c r="H24"/>
  <c r="D24"/>
  <c r="H23"/>
  <c r="I23" s="1"/>
  <c r="D23"/>
  <c r="H22"/>
  <c r="D22"/>
  <c r="H21"/>
  <c r="I21" s="1"/>
  <c r="D21"/>
  <c r="H20"/>
  <c r="D20"/>
  <c r="H19"/>
  <c r="I19" s="1"/>
  <c r="D19"/>
  <c r="H18"/>
  <c r="D18"/>
  <c r="H17"/>
  <c r="I17" s="1"/>
  <c r="D17"/>
  <c r="H16"/>
  <c r="D16"/>
  <c r="H15"/>
  <c r="I15" s="1"/>
  <c r="D15"/>
  <c r="H14"/>
  <c r="D14"/>
  <c r="H13"/>
  <c r="I13" s="1"/>
  <c r="D13"/>
  <c r="H12"/>
  <c r="D12"/>
  <c r="H11"/>
  <c r="I11" s="1"/>
  <c r="D11"/>
  <c r="H10"/>
  <c r="D10"/>
  <c r="H9"/>
  <c r="I9" s="1"/>
  <c r="D9"/>
  <c r="H8"/>
  <c r="D8"/>
  <c r="B8"/>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F51" s="1"/>
  <c r="I8" l="1"/>
  <c r="I10"/>
  <c r="I12"/>
  <c r="I14"/>
  <c r="I16"/>
  <c r="I18"/>
  <c r="I20"/>
  <c r="I22"/>
  <c r="I24"/>
  <c r="I26"/>
  <c r="I28"/>
  <c r="I30"/>
  <c r="I32"/>
  <c r="I34"/>
  <c r="I36"/>
  <c r="I38"/>
  <c r="I40"/>
  <c r="I42"/>
  <c r="I44"/>
  <c r="I46"/>
  <c r="I37"/>
  <c r="I39"/>
  <c r="I41"/>
  <c r="I43"/>
  <c r="I45"/>
  <c r="B47"/>
  <c r="B48" s="1"/>
  <c r="B49" s="1"/>
  <c r="C51" s="1"/>
  <c r="G51"/>
  <c r="I51" l="1"/>
  <c r="B16" i="49" l="1"/>
  <c r="B7"/>
  <c r="L69" i="86"/>
  <c r="H69"/>
  <c r="L68"/>
  <c r="H68"/>
  <c r="L67"/>
  <c r="H67"/>
  <c r="L66"/>
  <c r="H66"/>
  <c r="L65"/>
  <c r="H65"/>
  <c r="L64"/>
  <c r="H64"/>
  <c r="L63"/>
  <c r="H63"/>
  <c r="L62"/>
  <c r="H62"/>
  <c r="L61"/>
  <c r="H61"/>
  <c r="L60"/>
  <c r="H60"/>
  <c r="L59"/>
  <c r="H59"/>
  <c r="L58"/>
  <c r="H58"/>
  <c r="L57"/>
  <c r="H57"/>
  <c r="L56"/>
  <c r="H56"/>
  <c r="L55"/>
  <c r="H55"/>
  <c r="L54"/>
  <c r="H54"/>
  <c r="L53"/>
  <c r="H53"/>
  <c r="L52"/>
  <c r="H52"/>
  <c r="L51"/>
  <c r="H51"/>
  <c r="L50"/>
  <c r="H50"/>
  <c r="K49"/>
  <c r="G49"/>
  <c r="D49"/>
  <c r="K48"/>
  <c r="G48"/>
  <c r="D48"/>
  <c r="K47"/>
  <c r="G47"/>
  <c r="D47"/>
  <c r="K46"/>
  <c r="G46"/>
  <c r="D46"/>
  <c r="K45"/>
  <c r="G45"/>
  <c r="D45"/>
  <c r="K44"/>
  <c r="G44"/>
  <c r="D44"/>
  <c r="K43"/>
  <c r="G43"/>
  <c r="D43"/>
  <c r="K42"/>
  <c r="G42"/>
  <c r="D42"/>
  <c r="K41"/>
  <c r="G41"/>
  <c r="D41"/>
  <c r="K40"/>
  <c r="G40"/>
  <c r="D40"/>
  <c r="K39"/>
  <c r="G39"/>
  <c r="D39"/>
  <c r="K38"/>
  <c r="G38"/>
  <c r="D38"/>
  <c r="K37"/>
  <c r="G37"/>
  <c r="D37"/>
  <c r="K36"/>
  <c r="G36"/>
  <c r="D36"/>
  <c r="K35"/>
  <c r="G35"/>
  <c r="D35"/>
  <c r="K34"/>
  <c r="G34"/>
  <c r="D34"/>
  <c r="K33"/>
  <c r="G33"/>
  <c r="D33"/>
  <c r="K32"/>
  <c r="G32"/>
  <c r="D32"/>
  <c r="K31"/>
  <c r="G31"/>
  <c r="D31"/>
  <c r="K30"/>
  <c r="G30"/>
  <c r="D30"/>
  <c r="K29"/>
  <c r="G29"/>
  <c r="D29"/>
  <c r="K28"/>
  <c r="G28"/>
  <c r="D28"/>
  <c r="K27"/>
  <c r="G27"/>
  <c r="D27"/>
  <c r="K26"/>
  <c r="G26"/>
  <c r="D26"/>
  <c r="K25"/>
  <c r="G25"/>
  <c r="D25"/>
  <c r="K24"/>
  <c r="G24"/>
  <c r="D24"/>
  <c r="K23"/>
  <c r="G23"/>
  <c r="D23"/>
  <c r="K22"/>
  <c r="G22"/>
  <c r="D22"/>
  <c r="K21"/>
  <c r="G21"/>
  <c r="D21"/>
  <c r="K20"/>
  <c r="G20"/>
  <c r="D20"/>
  <c r="K19"/>
  <c r="G19"/>
  <c r="D19"/>
  <c r="K18"/>
  <c r="G18"/>
  <c r="D18"/>
  <c r="K17"/>
  <c r="G17"/>
  <c r="D17"/>
  <c r="K16"/>
  <c r="G16"/>
  <c r="D16"/>
  <c r="K15"/>
  <c r="G15"/>
  <c r="D15"/>
  <c r="K14"/>
  <c r="G14"/>
  <c r="D14"/>
  <c r="K13"/>
  <c r="G13"/>
  <c r="D13"/>
  <c r="K12"/>
  <c r="G12"/>
  <c r="D12"/>
  <c r="K11"/>
  <c r="G11"/>
  <c r="D11"/>
  <c r="K10"/>
  <c r="G10"/>
  <c r="D10"/>
  <c r="C19" i="70" l="1"/>
  <c r="C20" s="1"/>
  <c r="C21" s="1"/>
  <c r="C22" s="1"/>
  <c r="C23" s="1"/>
  <c r="C24" s="1"/>
  <c r="C25" s="1"/>
  <c r="C26" s="1"/>
  <c r="C27" s="1"/>
  <c r="C28" s="1"/>
  <c r="C29" s="1"/>
  <c r="C30" s="1"/>
  <c r="C31" s="1"/>
  <c r="C32" s="1"/>
  <c r="C33" s="1"/>
  <c r="R76" i="85"/>
  <c r="Q76"/>
  <c r="P76"/>
  <c r="O76"/>
  <c r="N76"/>
  <c r="M76"/>
  <c r="AA71"/>
  <c r="AA72" s="1"/>
  <c r="AA73" s="1"/>
  <c r="AA74" s="1"/>
  <c r="AA75" s="1"/>
  <c r="AA76" s="1"/>
  <c r="AA77" s="1"/>
  <c r="AA78" s="1"/>
  <c r="R68"/>
  <c r="Q68"/>
  <c r="R69" s="1"/>
  <c r="P68"/>
  <c r="Q69" s="1"/>
  <c r="O68"/>
  <c r="O69" s="1"/>
  <c r="N68"/>
  <c r="N69"/>
  <c r="K40"/>
  <c r="L40" s="1"/>
  <c r="K38"/>
  <c r="L38" s="1"/>
  <c r="F30"/>
  <c r="F20"/>
  <c r="F19"/>
  <c r="F18"/>
  <c r="F17"/>
  <c r="F16"/>
  <c r="F15"/>
  <c r="F14"/>
  <c r="F13"/>
  <c r="F12"/>
  <c r="F11"/>
  <c r="F10"/>
  <c r="F9"/>
  <c r="B29" i="82"/>
  <c r="B30" s="1"/>
  <c r="B31" s="1"/>
  <c r="B32" s="1"/>
  <c r="B33" s="1"/>
  <c r="I27"/>
  <c r="J27" s="1"/>
  <c r="G27"/>
  <c r="H27" s="1"/>
  <c r="E27"/>
  <c r="F27" s="1"/>
  <c r="J26"/>
  <c r="H26"/>
  <c r="F26"/>
  <c r="J25"/>
  <c r="H25"/>
  <c r="F25"/>
  <c r="J24"/>
  <c r="H24"/>
  <c r="F24"/>
  <c r="J23"/>
  <c r="H23"/>
  <c r="F23"/>
  <c r="B23"/>
  <c r="C52" s="1"/>
  <c r="J22"/>
  <c r="H22"/>
  <c r="F22"/>
  <c r="J21"/>
  <c r="H21"/>
  <c r="F21"/>
  <c r="B9" i="49"/>
  <c r="B8"/>
  <c r="G12" i="48"/>
  <c r="D22" i="85" l="1"/>
  <c r="D23"/>
  <c r="D24"/>
  <c r="D25"/>
  <c r="D26"/>
  <c r="D27"/>
  <c r="D28"/>
  <c r="D29"/>
  <c r="D30"/>
  <c r="D31"/>
  <c r="D32"/>
  <c r="D33"/>
  <c r="D34"/>
  <c r="K14"/>
  <c r="L14" s="1"/>
  <c r="D35"/>
  <c r="D36"/>
  <c r="D37"/>
  <c r="D43"/>
  <c r="D45"/>
  <c r="D10"/>
  <c r="D14"/>
  <c r="G15"/>
  <c r="D46"/>
  <c r="D47"/>
  <c r="D48"/>
  <c r="D15"/>
  <c r="K42"/>
  <c r="N41" s="1"/>
  <c r="V41" s="1"/>
  <c r="G19"/>
  <c r="G11"/>
  <c r="K17"/>
  <c r="L17" s="1"/>
  <c r="K48"/>
  <c r="L48" s="1"/>
  <c r="G16"/>
  <c r="D39"/>
  <c r="D41"/>
  <c r="K43"/>
  <c r="L43" s="1"/>
  <c r="N42" s="1"/>
  <c r="V42" s="1"/>
  <c r="K44"/>
  <c r="L44" s="1"/>
  <c r="N43" s="1"/>
  <c r="V43" s="1"/>
  <c r="D11"/>
  <c r="K13"/>
  <c r="L13" s="1"/>
  <c r="D19"/>
  <c r="K21"/>
  <c r="L21" s="1"/>
  <c r="G12"/>
  <c r="D18"/>
  <c r="K18"/>
  <c r="L18" s="1"/>
  <c r="G20"/>
  <c r="G17"/>
  <c r="G13"/>
  <c r="K11"/>
  <c r="L11" s="1"/>
  <c r="K15"/>
  <c r="L15" s="1"/>
  <c r="K19"/>
  <c r="L19" s="1"/>
  <c r="D38"/>
  <c r="D40"/>
  <c r="K45"/>
  <c r="L45" s="1"/>
  <c r="N44" s="1"/>
  <c r="V44" s="1"/>
  <c r="F46"/>
  <c r="F45"/>
  <c r="D13"/>
  <c r="G14"/>
  <c r="D17"/>
  <c r="G18"/>
  <c r="D21"/>
  <c r="K22"/>
  <c r="L22" s="1"/>
  <c r="K23"/>
  <c r="L23" s="1"/>
  <c r="K24"/>
  <c r="L24" s="1"/>
  <c r="K25"/>
  <c r="L25" s="1"/>
  <c r="K26"/>
  <c r="L26" s="1"/>
  <c r="K27"/>
  <c r="L27" s="1"/>
  <c r="K28"/>
  <c r="L28" s="1"/>
  <c r="K29"/>
  <c r="L29" s="1"/>
  <c r="K30"/>
  <c r="L30" s="1"/>
  <c r="K31"/>
  <c r="K32"/>
  <c r="L32" s="1"/>
  <c r="K33"/>
  <c r="L33" s="1"/>
  <c r="K34"/>
  <c r="L34" s="1"/>
  <c r="K35"/>
  <c r="L35" s="1"/>
  <c r="K36"/>
  <c r="L36" s="1"/>
  <c r="K41"/>
  <c r="L41" s="1"/>
  <c r="N40" s="1"/>
  <c r="V40" s="1"/>
  <c r="F43"/>
  <c r="F44"/>
  <c r="K47"/>
  <c r="L47" s="1"/>
  <c r="N46" s="1"/>
  <c r="D12"/>
  <c r="K12"/>
  <c r="D16"/>
  <c r="K16"/>
  <c r="L16" s="1"/>
  <c r="D20"/>
  <c r="K20"/>
  <c r="L20" s="1"/>
  <c r="F21"/>
  <c r="G21" s="1"/>
  <c r="F31"/>
  <c r="G31" s="1"/>
  <c r="F32"/>
  <c r="F33"/>
  <c r="F34"/>
  <c r="F35"/>
  <c r="F36"/>
  <c r="F37"/>
  <c r="F38"/>
  <c r="F39"/>
  <c r="F40"/>
  <c r="F41"/>
  <c r="F42"/>
  <c r="G43" s="1"/>
  <c r="D44"/>
  <c r="K46"/>
  <c r="L46" s="1"/>
  <c r="N45" s="1"/>
  <c r="V45" s="1"/>
  <c r="V55" s="1"/>
  <c r="F47"/>
  <c r="G28" i="82"/>
  <c r="G29" s="1"/>
  <c r="G30" s="1"/>
  <c r="N39" i="85"/>
  <c r="V39" s="1"/>
  <c r="G44"/>
  <c r="H44"/>
  <c r="G10"/>
  <c r="H31"/>
  <c r="H32"/>
  <c r="G33"/>
  <c r="H33"/>
  <c r="G34"/>
  <c r="H34"/>
  <c r="H36"/>
  <c r="G37"/>
  <c r="H37"/>
  <c r="H38"/>
  <c r="G39"/>
  <c r="G41"/>
  <c r="H41"/>
  <c r="H47"/>
  <c r="G47"/>
  <c r="H46"/>
  <c r="G46"/>
  <c r="I47"/>
  <c r="G45"/>
  <c r="H45"/>
  <c r="I46"/>
  <c r="H11"/>
  <c r="H12"/>
  <c r="H13"/>
  <c r="H14"/>
  <c r="H15"/>
  <c r="H16"/>
  <c r="H17"/>
  <c r="H18"/>
  <c r="H19"/>
  <c r="H20"/>
  <c r="H21"/>
  <c r="P69"/>
  <c r="K37"/>
  <c r="L37" s="1"/>
  <c r="K39"/>
  <c r="L39" s="1"/>
  <c r="F22"/>
  <c r="F23"/>
  <c r="I23" s="1"/>
  <c r="F24"/>
  <c r="I24" s="1"/>
  <c r="F25"/>
  <c r="I25" s="1"/>
  <c r="F26"/>
  <c r="F27"/>
  <c r="I27" s="1"/>
  <c r="F28"/>
  <c r="I28" s="1"/>
  <c r="F29"/>
  <c r="H30" s="1"/>
  <c r="C53" i="82"/>
  <c r="B34"/>
  <c r="B35" s="1"/>
  <c r="E28"/>
  <c r="I28"/>
  <c r="B24"/>
  <c r="B25" s="1"/>
  <c r="C50"/>
  <c r="D28" i="21"/>
  <c r="B28"/>
  <c r="F91" i="73"/>
  <c r="F70"/>
  <c r="I53"/>
  <c r="I52"/>
  <c r="I51"/>
  <c r="I50"/>
  <c r="I49"/>
  <c r="I47"/>
  <c r="I96"/>
  <c r="I95"/>
  <c r="I94"/>
  <c r="I93"/>
  <c r="I92"/>
  <c r="I91"/>
  <c r="I90" s="1"/>
  <c r="I71"/>
  <c r="I72"/>
  <c r="I73"/>
  <c r="I74"/>
  <c r="I75"/>
  <c r="I70"/>
  <c r="I69" s="1"/>
  <c r="K5"/>
  <c r="A99"/>
  <c r="A100" s="1"/>
  <c r="F71"/>
  <c r="A78"/>
  <c r="H28" i="82" l="1"/>
  <c r="H29"/>
  <c r="V53" i="85"/>
  <c r="I9"/>
  <c r="G38"/>
  <c r="H40"/>
  <c r="A79" i="73"/>
  <c r="F28" i="21"/>
  <c r="H43" i="85"/>
  <c r="H35"/>
  <c r="G42"/>
  <c r="H39"/>
  <c r="G35"/>
  <c r="H42"/>
  <c r="I37"/>
  <c r="I45"/>
  <c r="G40"/>
  <c r="G36"/>
  <c r="G32"/>
  <c r="I20"/>
  <c r="I12"/>
  <c r="I18"/>
  <c r="I33"/>
  <c r="V54"/>
  <c r="I44"/>
  <c r="I21"/>
  <c r="I38"/>
  <c r="I15"/>
  <c r="I17"/>
  <c r="I39"/>
  <c r="I34"/>
  <c r="I30"/>
  <c r="I40"/>
  <c r="I16"/>
  <c r="I41"/>
  <c r="I35"/>
  <c r="I31"/>
  <c r="I10"/>
  <c r="I42"/>
  <c r="I19"/>
  <c r="I11"/>
  <c r="I13"/>
  <c r="I36"/>
  <c r="I32"/>
  <c r="I14"/>
  <c r="I43"/>
  <c r="G26"/>
  <c r="H26"/>
  <c r="G22"/>
  <c r="H22"/>
  <c r="L54"/>
  <c r="G27"/>
  <c r="H27"/>
  <c r="G23"/>
  <c r="H23"/>
  <c r="G30"/>
  <c r="G28"/>
  <c r="H28"/>
  <c r="G24"/>
  <c r="H24"/>
  <c r="I29"/>
  <c r="G29"/>
  <c r="H29"/>
  <c r="G25"/>
  <c r="H25"/>
  <c r="V38"/>
  <c r="V49" s="1"/>
  <c r="I26"/>
  <c r="I22"/>
  <c r="F50" i="82"/>
  <c r="B26"/>
  <c r="H50"/>
  <c r="J50"/>
  <c r="J28"/>
  <c r="I29"/>
  <c r="B36"/>
  <c r="B37" s="1"/>
  <c r="B38" s="1"/>
  <c r="F28"/>
  <c r="E29"/>
  <c r="H30"/>
  <c r="G31"/>
  <c r="C54" l="1"/>
  <c r="C51"/>
  <c r="C48"/>
  <c r="B39"/>
  <c r="B40" s="1"/>
  <c r="G32"/>
  <c r="H31"/>
  <c r="I30"/>
  <c r="J29"/>
  <c r="H52"/>
  <c r="J52"/>
  <c r="F52"/>
  <c r="E30"/>
  <c r="F29"/>
  <c r="B41" l="1"/>
  <c r="G33"/>
  <c r="H32"/>
  <c r="E31"/>
  <c r="F30"/>
  <c r="I31"/>
  <c r="J30"/>
  <c r="E76" i="73"/>
  <c r="H33" i="82" l="1"/>
  <c r="G34"/>
  <c r="J31"/>
  <c r="I32"/>
  <c r="F31"/>
  <c r="E32"/>
  <c r="E100" i="73" l="1"/>
  <c r="C100" s="1"/>
  <c r="F82"/>
  <c r="E79"/>
  <c r="C79" s="1"/>
  <c r="C82" s="1"/>
  <c r="F32" i="82"/>
  <c r="E33"/>
  <c r="H34"/>
  <c r="G35"/>
  <c r="J32"/>
  <c r="I33"/>
  <c r="E34" l="1"/>
  <c r="F33"/>
  <c r="I34"/>
  <c r="J33"/>
  <c r="G36"/>
  <c r="H35"/>
  <c r="H53"/>
  <c r="G37" l="1"/>
  <c r="H36"/>
  <c r="E35"/>
  <c r="F34"/>
  <c r="I35"/>
  <c r="J34"/>
  <c r="P15" i="73"/>
  <c r="F38"/>
  <c r="D30"/>
  <c r="D48" s="1"/>
  <c r="D59" s="1"/>
  <c r="C30"/>
  <c r="J31" s="1"/>
  <c r="D71" l="1"/>
  <c r="D49"/>
  <c r="D38"/>
  <c r="D70"/>
  <c r="H37" i="82"/>
  <c r="G38"/>
  <c r="J35"/>
  <c r="I36"/>
  <c r="J53"/>
  <c r="F35"/>
  <c r="E36"/>
  <c r="F53"/>
  <c r="D73" i="73" l="1"/>
  <c r="D74" s="1"/>
  <c r="D75" s="1"/>
  <c r="D76" s="1"/>
  <c r="C76" s="1"/>
  <c r="H38" i="82"/>
  <c r="G39"/>
  <c r="F36"/>
  <c r="E37"/>
  <c r="J36"/>
  <c r="I37"/>
  <c r="K15" i="73"/>
  <c r="E5"/>
  <c r="E6"/>
  <c r="E7"/>
  <c r="E8"/>
  <c r="E9"/>
  <c r="E10"/>
  <c r="O14" i="62"/>
  <c r="N14"/>
  <c r="M14"/>
  <c r="L14"/>
  <c r="A56" i="73"/>
  <c r="A57" s="1"/>
  <c r="F48"/>
  <c r="F59" s="1"/>
  <c r="D29"/>
  <c r="C29"/>
  <c r="D28"/>
  <c r="C28"/>
  <c r="D27"/>
  <c r="C27"/>
  <c r="D26"/>
  <c r="C26"/>
  <c r="D25"/>
  <c r="C25"/>
  <c r="D24"/>
  <c r="C24"/>
  <c r="D23"/>
  <c r="C23"/>
  <c r="D22"/>
  <c r="C22"/>
  <c r="D21"/>
  <c r="C21"/>
  <c r="P14"/>
  <c r="K14"/>
  <c r="Q14"/>
  <c r="P13"/>
  <c r="K13"/>
  <c r="H13"/>
  <c r="Q13"/>
  <c r="P12"/>
  <c r="K12"/>
  <c r="H12"/>
  <c r="Q12"/>
  <c r="P11"/>
  <c r="K11"/>
  <c r="H11"/>
  <c r="Q11"/>
  <c r="P10"/>
  <c r="K10"/>
  <c r="H10"/>
  <c r="Q10"/>
  <c r="P9"/>
  <c r="K9"/>
  <c r="I9"/>
  <c r="H9"/>
  <c r="Q9"/>
  <c r="P8"/>
  <c r="K8"/>
  <c r="H8"/>
  <c r="Q8"/>
  <c r="P7"/>
  <c r="K7"/>
  <c r="H7"/>
  <c r="Q7"/>
  <c r="P6"/>
  <c r="K6"/>
  <c r="H6"/>
  <c r="Q6"/>
  <c r="S5"/>
  <c r="P5"/>
  <c r="H5"/>
  <c r="E21"/>
  <c r="D37" l="1"/>
  <c r="C37"/>
  <c r="D36"/>
  <c r="D35"/>
  <c r="C35"/>
  <c r="C36"/>
  <c r="L18"/>
  <c r="G48"/>
  <c r="G59" s="1"/>
  <c r="G70"/>
  <c r="E70" s="1"/>
  <c r="G91"/>
  <c r="C91" s="1"/>
  <c r="G40" i="82"/>
  <c r="H39"/>
  <c r="I38"/>
  <c r="J37"/>
  <c r="E38"/>
  <c r="F37"/>
  <c r="E31" i="73"/>
  <c r="Q15"/>
  <c r="J24"/>
  <c r="K24" s="1"/>
  <c r="J23"/>
  <c r="K23" s="1"/>
  <c r="E25"/>
  <c r="G25" s="1"/>
  <c r="I11"/>
  <c r="I7"/>
  <c r="K22"/>
  <c r="E23"/>
  <c r="G23" s="1"/>
  <c r="J27"/>
  <c r="K27" s="1"/>
  <c r="I13"/>
  <c r="J25"/>
  <c r="K25" s="1"/>
  <c r="E29"/>
  <c r="G29" s="1"/>
  <c r="E27"/>
  <c r="G27" s="1"/>
  <c r="K18"/>
  <c r="J28"/>
  <c r="K28" s="1"/>
  <c r="J26"/>
  <c r="K26" s="1"/>
  <c r="G21"/>
  <c r="I5"/>
  <c r="D81"/>
  <c r="Q5"/>
  <c r="I6"/>
  <c r="I8"/>
  <c r="I10"/>
  <c r="I12"/>
  <c r="I14"/>
  <c r="E22"/>
  <c r="G22" s="1"/>
  <c r="E24"/>
  <c r="G24" s="1"/>
  <c r="E26"/>
  <c r="E37" s="1"/>
  <c r="E28"/>
  <c r="G28" s="1"/>
  <c r="G13" i="48"/>
  <c r="H13" s="1"/>
  <c r="E26"/>
  <c r="E25"/>
  <c r="E24"/>
  <c r="F24" s="1"/>
  <c r="E23"/>
  <c r="E22"/>
  <c r="E21"/>
  <c r="E20"/>
  <c r="F20" s="1"/>
  <c r="E19"/>
  <c r="E18"/>
  <c r="E17"/>
  <c r="E16"/>
  <c r="F16" s="1"/>
  <c r="E15"/>
  <c r="E14"/>
  <c r="E13"/>
  <c r="E12"/>
  <c r="F13" l="1"/>
  <c r="F17"/>
  <c r="F21"/>
  <c r="F25"/>
  <c r="E35" i="73"/>
  <c r="E36"/>
  <c r="G36"/>
  <c r="H14" i="48"/>
  <c r="F26"/>
  <c r="F27"/>
  <c r="F14"/>
  <c r="F18"/>
  <c r="F22"/>
  <c r="F15"/>
  <c r="F19"/>
  <c r="F23"/>
  <c r="E39" i="82"/>
  <c r="F38"/>
  <c r="H41"/>
  <c r="H40"/>
  <c r="H48" s="1"/>
  <c r="H54"/>
  <c r="I39"/>
  <c r="J38"/>
  <c r="G31" i="73"/>
  <c r="E49" s="1"/>
  <c r="C49" s="1"/>
  <c r="E38"/>
  <c r="G11" i="48"/>
  <c r="H12" s="1"/>
  <c r="E11"/>
  <c r="F81" i="73"/>
  <c r="D102"/>
  <c r="G26"/>
  <c r="G37" s="1"/>
  <c r="S56" i="71"/>
  <c r="R56"/>
  <c r="Q56"/>
  <c r="P56"/>
  <c r="O56"/>
  <c r="N56"/>
  <c r="M56"/>
  <c r="L56"/>
  <c r="S58" s="1"/>
  <c r="T54" s="1"/>
  <c r="K56"/>
  <c r="J56"/>
  <c r="I56"/>
  <c r="H56"/>
  <c r="G56"/>
  <c r="F56"/>
  <c r="E56"/>
  <c r="D56"/>
  <c r="D52"/>
  <c r="C52"/>
  <c r="S51"/>
  <c r="S52" s="1"/>
  <c r="R51"/>
  <c r="R52" s="1"/>
  <c r="Q51"/>
  <c r="Q52" s="1"/>
  <c r="P51"/>
  <c r="P52" s="1"/>
  <c r="O51"/>
  <c r="O52" s="1"/>
  <c r="N51"/>
  <c r="N52" s="1"/>
  <c r="M51"/>
  <c r="M52" s="1"/>
  <c r="L51"/>
  <c r="L52" s="1"/>
  <c r="K51"/>
  <c r="K52" s="1"/>
  <c r="J51"/>
  <c r="J52" s="1"/>
  <c r="I51"/>
  <c r="I52" s="1"/>
  <c r="H51"/>
  <c r="H52" s="1"/>
  <c r="G51"/>
  <c r="G52" s="1"/>
  <c r="F51"/>
  <c r="F52" s="1"/>
  <c r="E51"/>
  <c r="E52" s="1"/>
  <c r="B51"/>
  <c r="R49"/>
  <c r="R41" s="1"/>
  <c r="Q49"/>
  <c r="P49"/>
  <c r="N49"/>
  <c r="N41" s="1"/>
  <c r="M49"/>
  <c r="L49"/>
  <c r="J49"/>
  <c r="J41" s="1"/>
  <c r="I49"/>
  <c r="H49"/>
  <c r="F49"/>
  <c r="F41" s="1"/>
  <c r="E49"/>
  <c r="D49"/>
  <c r="C49"/>
  <c r="B49"/>
  <c r="B41" s="1"/>
  <c r="Q41"/>
  <c r="AA42" s="1"/>
  <c r="P41"/>
  <c r="P38" s="1"/>
  <c r="Q38" s="1"/>
  <c r="R38" s="1"/>
  <c r="S38" s="1"/>
  <c r="T38" s="1"/>
  <c r="U38" s="1"/>
  <c r="V38" s="1"/>
  <c r="W38" s="1"/>
  <c r="X38" s="1"/>
  <c r="Y38" s="1"/>
  <c r="Z38" s="1"/>
  <c r="M41"/>
  <c r="L41"/>
  <c r="L38" s="1"/>
  <c r="I41"/>
  <c r="H41"/>
  <c r="H38" s="1"/>
  <c r="E41"/>
  <c r="D41"/>
  <c r="D38" s="1"/>
  <c r="C41"/>
  <c r="C39" s="1"/>
  <c r="P39"/>
  <c r="Q39" s="1"/>
  <c r="M39"/>
  <c r="L39"/>
  <c r="I39"/>
  <c r="H39"/>
  <c r="E39"/>
  <c r="D39"/>
  <c r="M38"/>
  <c r="I38"/>
  <c r="E38"/>
  <c r="C38"/>
  <c r="P37"/>
  <c r="Q37" s="1"/>
  <c r="R37" s="1"/>
  <c r="S37" s="1"/>
  <c r="T37" s="1"/>
  <c r="U37" s="1"/>
  <c r="V37" s="1"/>
  <c r="W37" s="1"/>
  <c r="X37" s="1"/>
  <c r="Y37" s="1"/>
  <c r="Z37" s="1"/>
  <c r="M37"/>
  <c r="L37"/>
  <c r="I37"/>
  <c r="H37"/>
  <c r="E37"/>
  <c r="D37"/>
  <c r="C37"/>
  <c r="P34"/>
  <c r="Q34" s="1"/>
  <c r="R34" s="1"/>
  <c r="S34" s="1"/>
  <c r="T34" s="1"/>
  <c r="U34" s="1"/>
  <c r="V34" s="1"/>
  <c r="W34" s="1"/>
  <c r="X34" s="1"/>
  <c r="Y34" s="1"/>
  <c r="Z34" s="1"/>
  <c r="M34"/>
  <c r="L34"/>
  <c r="I34"/>
  <c r="H34"/>
  <c r="E34"/>
  <c r="D34"/>
  <c r="C34"/>
  <c r="P33"/>
  <c r="Q33" s="1"/>
  <c r="R33" s="1"/>
  <c r="S33" s="1"/>
  <c r="T33" s="1"/>
  <c r="U33" s="1"/>
  <c r="V33" s="1"/>
  <c r="W33" s="1"/>
  <c r="X33" s="1"/>
  <c r="Y33" s="1"/>
  <c r="Z33" s="1"/>
  <c r="M33"/>
  <c r="L33"/>
  <c r="I33"/>
  <c r="H33"/>
  <c r="E33"/>
  <c r="D33"/>
  <c r="C33"/>
  <c r="P32"/>
  <c r="M32"/>
  <c r="L32"/>
  <c r="I32"/>
  <c r="H32"/>
  <c r="E32"/>
  <c r="D32"/>
  <c r="C32"/>
  <c r="P31"/>
  <c r="Q31" s="1"/>
  <c r="R31" s="1"/>
  <c r="S31" s="1"/>
  <c r="T31" s="1"/>
  <c r="U31" s="1"/>
  <c r="V31" s="1"/>
  <c r="W31" s="1"/>
  <c r="X31" s="1"/>
  <c r="Y31" s="1"/>
  <c r="Z31" s="1"/>
  <c r="M31"/>
  <c r="L31"/>
  <c r="I31"/>
  <c r="H31"/>
  <c r="E31"/>
  <c r="D31"/>
  <c r="C31"/>
  <c r="P30"/>
  <c r="Q30" s="1"/>
  <c r="R30" s="1"/>
  <c r="S30" s="1"/>
  <c r="T30" s="1"/>
  <c r="U30" s="1"/>
  <c r="V30" s="1"/>
  <c r="W30" s="1"/>
  <c r="X30" s="1"/>
  <c r="Y30" s="1"/>
  <c r="Z30" s="1"/>
  <c r="M30"/>
  <c r="L30"/>
  <c r="I30"/>
  <c r="H30"/>
  <c r="E30"/>
  <c r="D30"/>
  <c r="C30"/>
  <c r="P29"/>
  <c r="Q29" s="1"/>
  <c r="R29" s="1"/>
  <c r="S29" s="1"/>
  <c r="T29" s="1"/>
  <c r="U29" s="1"/>
  <c r="V29" s="1"/>
  <c r="W29" s="1"/>
  <c r="X29" s="1"/>
  <c r="Y29" s="1"/>
  <c r="Z29" s="1"/>
  <c r="M29"/>
  <c r="L29"/>
  <c r="I29"/>
  <c r="H29"/>
  <c r="E29"/>
  <c r="D29"/>
  <c r="C29"/>
  <c r="P28"/>
  <c r="M28"/>
  <c r="L28"/>
  <c r="I28"/>
  <c r="H28"/>
  <c r="E28"/>
  <c r="D28"/>
  <c r="C28"/>
  <c r="P27"/>
  <c r="Q27" s="1"/>
  <c r="R27" s="1"/>
  <c r="S27" s="1"/>
  <c r="T27" s="1"/>
  <c r="U27" s="1"/>
  <c r="V27" s="1"/>
  <c r="W27" s="1"/>
  <c r="X27" s="1"/>
  <c r="Y27" s="1"/>
  <c r="Z27" s="1"/>
  <c r="M27"/>
  <c r="L27"/>
  <c r="I27"/>
  <c r="H27"/>
  <c r="E27"/>
  <c r="D27"/>
  <c r="C27"/>
  <c r="P26"/>
  <c r="Q26" s="1"/>
  <c r="R26" s="1"/>
  <c r="S26" s="1"/>
  <c r="T26" s="1"/>
  <c r="U26" s="1"/>
  <c r="V26" s="1"/>
  <c r="W26" s="1"/>
  <c r="X26" s="1"/>
  <c r="Y26" s="1"/>
  <c r="Z26" s="1"/>
  <c r="M26"/>
  <c r="L26"/>
  <c r="I26"/>
  <c r="H26"/>
  <c r="E26"/>
  <c r="D26"/>
  <c r="C26"/>
  <c r="P25"/>
  <c r="M25"/>
  <c r="L25"/>
  <c r="I25"/>
  <c r="H25"/>
  <c r="E25"/>
  <c r="D25"/>
  <c r="C25"/>
  <c r="P24"/>
  <c r="M24"/>
  <c r="L24"/>
  <c r="I24"/>
  <c r="H24"/>
  <c r="E24"/>
  <c r="D24"/>
  <c r="C24"/>
  <c r="P23"/>
  <c r="Q23" s="1"/>
  <c r="R23" s="1"/>
  <c r="S23" s="1"/>
  <c r="T23" s="1"/>
  <c r="U23" s="1"/>
  <c r="V23" s="1"/>
  <c r="W23" s="1"/>
  <c r="X23" s="1"/>
  <c r="Y23" s="1"/>
  <c r="Z23" s="1"/>
  <c r="M23"/>
  <c r="L23"/>
  <c r="I23"/>
  <c r="H23"/>
  <c r="E23"/>
  <c r="D23"/>
  <c r="C23"/>
  <c r="P22"/>
  <c r="Q22" s="1"/>
  <c r="R22" s="1"/>
  <c r="S22" s="1"/>
  <c r="T22" s="1"/>
  <c r="U22" s="1"/>
  <c r="V22" s="1"/>
  <c r="W22" s="1"/>
  <c r="X22" s="1"/>
  <c r="Y22" s="1"/>
  <c r="Z22" s="1"/>
  <c r="M22"/>
  <c r="L22"/>
  <c r="I22"/>
  <c r="H22"/>
  <c r="E22"/>
  <c r="D22"/>
  <c r="C22"/>
  <c r="P21"/>
  <c r="M21"/>
  <c r="L21"/>
  <c r="I21"/>
  <c r="H21"/>
  <c r="E21"/>
  <c r="D21"/>
  <c r="C21"/>
  <c r="P18"/>
  <c r="M18"/>
  <c r="L18"/>
  <c r="I18"/>
  <c r="H18"/>
  <c r="E18"/>
  <c r="D18"/>
  <c r="C18"/>
  <c r="P17"/>
  <c r="Q17" s="1"/>
  <c r="R17" s="1"/>
  <c r="S17" s="1"/>
  <c r="T17" s="1"/>
  <c r="U17" s="1"/>
  <c r="V17" s="1"/>
  <c r="W17" s="1"/>
  <c r="X17" s="1"/>
  <c r="Y17" s="1"/>
  <c r="Z17" s="1"/>
  <c r="M17"/>
  <c r="L17"/>
  <c r="I17"/>
  <c r="H17"/>
  <c r="E17"/>
  <c r="D17"/>
  <c r="C17"/>
  <c r="P16"/>
  <c r="Q16" s="1"/>
  <c r="R16" s="1"/>
  <c r="S16" s="1"/>
  <c r="T16" s="1"/>
  <c r="U16" s="1"/>
  <c r="V16" s="1"/>
  <c r="W16" s="1"/>
  <c r="X16" s="1"/>
  <c r="Y16" s="1"/>
  <c r="Z16" s="1"/>
  <c r="M16"/>
  <c r="L16"/>
  <c r="I16"/>
  <c r="H16"/>
  <c r="E16"/>
  <c r="D16"/>
  <c r="C16"/>
  <c r="P15"/>
  <c r="M15"/>
  <c r="L15"/>
  <c r="I15"/>
  <c r="H15"/>
  <c r="E15"/>
  <c r="D15"/>
  <c r="C15"/>
  <c r="P14"/>
  <c r="M14"/>
  <c r="L14"/>
  <c r="I14"/>
  <c r="H14"/>
  <c r="E14"/>
  <c r="D14"/>
  <c r="C14"/>
  <c r="P13"/>
  <c r="Q13" s="1"/>
  <c r="R13" s="1"/>
  <c r="S13" s="1"/>
  <c r="T13" s="1"/>
  <c r="U13" s="1"/>
  <c r="V13" s="1"/>
  <c r="W13" s="1"/>
  <c r="X13" s="1"/>
  <c r="Y13" s="1"/>
  <c r="Z13" s="1"/>
  <c r="M13"/>
  <c r="L13"/>
  <c r="I13"/>
  <c r="H13"/>
  <c r="E13"/>
  <c r="D13"/>
  <c r="C13"/>
  <c r="P12"/>
  <c r="Q12" s="1"/>
  <c r="R12" s="1"/>
  <c r="S12" s="1"/>
  <c r="T12" s="1"/>
  <c r="U12" s="1"/>
  <c r="V12" s="1"/>
  <c r="W12" s="1"/>
  <c r="X12" s="1"/>
  <c r="Y12" s="1"/>
  <c r="Z12" s="1"/>
  <c r="M12"/>
  <c r="L12"/>
  <c r="I12"/>
  <c r="H12"/>
  <c r="E12"/>
  <c r="D12"/>
  <c r="C12"/>
  <c r="P11"/>
  <c r="Q11" s="1"/>
  <c r="R11" s="1"/>
  <c r="S11" s="1"/>
  <c r="T11" s="1"/>
  <c r="U11" s="1"/>
  <c r="V11" s="1"/>
  <c r="W11" s="1"/>
  <c r="X11" s="1"/>
  <c r="Y11" s="1"/>
  <c r="Z11" s="1"/>
  <c r="M11"/>
  <c r="L11"/>
  <c r="I11"/>
  <c r="H11"/>
  <c r="E11"/>
  <c r="D11"/>
  <c r="C11"/>
  <c r="P10"/>
  <c r="M10"/>
  <c r="L10"/>
  <c r="I10"/>
  <c r="H10"/>
  <c r="E10"/>
  <c r="D10"/>
  <c r="C10"/>
  <c r="P9"/>
  <c r="Q9" s="1"/>
  <c r="R9" s="1"/>
  <c r="S9" s="1"/>
  <c r="T9" s="1"/>
  <c r="U9" s="1"/>
  <c r="V9" s="1"/>
  <c r="W9" s="1"/>
  <c r="X9" s="1"/>
  <c r="Y9" s="1"/>
  <c r="Z9" s="1"/>
  <c r="M9"/>
  <c r="L9"/>
  <c r="I9"/>
  <c r="H9"/>
  <c r="E9"/>
  <c r="D9"/>
  <c r="C9"/>
  <c r="C6"/>
  <c r="D6" s="1"/>
  <c r="E6" s="1"/>
  <c r="F6" s="1"/>
  <c r="G6" s="1"/>
  <c r="H6" s="1"/>
  <c r="I6" s="1"/>
  <c r="J6" s="1"/>
  <c r="K6" s="1"/>
  <c r="L6" s="1"/>
  <c r="M6" s="1"/>
  <c r="N6" s="1"/>
  <c r="O6" s="1"/>
  <c r="P6" s="1"/>
  <c r="Q6" s="1"/>
  <c r="R6" s="1"/>
  <c r="S6" s="1"/>
  <c r="T6" s="1"/>
  <c r="U6" s="1"/>
  <c r="V6" s="1"/>
  <c r="W6" s="1"/>
  <c r="X6" s="1"/>
  <c r="Y6" s="1"/>
  <c r="Z6" s="1"/>
  <c r="G35" i="73" l="1"/>
  <c r="E31" i="48"/>
  <c r="F12"/>
  <c r="G31"/>
  <c r="F39" i="82"/>
  <c r="E40"/>
  <c r="J39"/>
  <c r="I40"/>
  <c r="G38" i="73"/>
  <c r="Q32" i="71"/>
  <c r="R32" s="1"/>
  <c r="S32" s="1"/>
  <c r="T32" s="1"/>
  <c r="U32" s="1"/>
  <c r="V32" s="1"/>
  <c r="W32" s="1"/>
  <c r="X32" s="1"/>
  <c r="Y32" s="1"/>
  <c r="Z32" s="1"/>
  <c r="Q28"/>
  <c r="R28" s="1"/>
  <c r="S28" s="1"/>
  <c r="T28" s="1"/>
  <c r="U28" s="1"/>
  <c r="V28" s="1"/>
  <c r="W28" s="1"/>
  <c r="X28" s="1"/>
  <c r="Y28" s="1"/>
  <c r="Z28" s="1"/>
  <c r="Q24"/>
  <c r="R24" s="1"/>
  <c r="S24" s="1"/>
  <c r="T24" s="1"/>
  <c r="U24" s="1"/>
  <c r="V24" s="1"/>
  <c r="W24" s="1"/>
  <c r="X24" s="1"/>
  <c r="Y24" s="1"/>
  <c r="Z24" s="1"/>
  <c r="Q18"/>
  <c r="R18" s="1"/>
  <c r="S18" s="1"/>
  <c r="T18" s="1"/>
  <c r="U18" s="1"/>
  <c r="V18" s="1"/>
  <c r="W18" s="1"/>
  <c r="X18" s="1"/>
  <c r="Y18" s="1"/>
  <c r="Z18" s="1"/>
  <c r="Q14"/>
  <c r="R14" s="1"/>
  <c r="S14" s="1"/>
  <c r="T14" s="1"/>
  <c r="U14" s="1"/>
  <c r="V14" s="1"/>
  <c r="W14" s="1"/>
  <c r="X14" s="1"/>
  <c r="Y14" s="1"/>
  <c r="Z14" s="1"/>
  <c r="Q10"/>
  <c r="R10" s="1"/>
  <c r="S10" s="1"/>
  <c r="T10" s="1"/>
  <c r="U10" s="1"/>
  <c r="V10" s="1"/>
  <c r="W10" s="1"/>
  <c r="X10" s="1"/>
  <c r="Y10" s="1"/>
  <c r="Z10" s="1"/>
  <c r="Q25"/>
  <c r="R25" s="1"/>
  <c r="S25" s="1"/>
  <c r="T25" s="1"/>
  <c r="U25" s="1"/>
  <c r="V25" s="1"/>
  <c r="W25" s="1"/>
  <c r="X25" s="1"/>
  <c r="Y25" s="1"/>
  <c r="Z25" s="1"/>
  <c r="Q21"/>
  <c r="R21" s="1"/>
  <c r="S21" s="1"/>
  <c r="T21" s="1"/>
  <c r="U21" s="1"/>
  <c r="V21" s="1"/>
  <c r="W21" s="1"/>
  <c r="X21" s="1"/>
  <c r="Y21" s="1"/>
  <c r="Z21" s="1"/>
  <c r="Q15"/>
  <c r="R15" s="1"/>
  <c r="S15" s="1"/>
  <c r="T15" s="1"/>
  <c r="U15" s="1"/>
  <c r="V15" s="1"/>
  <c r="W15" s="1"/>
  <c r="X15" s="1"/>
  <c r="Y15" s="1"/>
  <c r="Z15" s="1"/>
  <c r="J39"/>
  <c r="J33"/>
  <c r="J29"/>
  <c r="J25"/>
  <c r="J21"/>
  <c r="J15"/>
  <c r="J11"/>
  <c r="J34"/>
  <c r="J30"/>
  <c r="J26"/>
  <c r="J22"/>
  <c r="J16"/>
  <c r="J12"/>
  <c r="J37"/>
  <c r="J31"/>
  <c r="J27"/>
  <c r="J23"/>
  <c r="J17"/>
  <c r="J13"/>
  <c r="J9"/>
  <c r="J38"/>
  <c r="J32"/>
  <c r="J28"/>
  <c r="J24"/>
  <c r="J18"/>
  <c r="J14"/>
  <c r="J10"/>
  <c r="R39"/>
  <c r="S39" s="1"/>
  <c r="T39" s="1"/>
  <c r="U39" s="1"/>
  <c r="V39" s="1"/>
  <c r="W39" s="1"/>
  <c r="X39" s="1"/>
  <c r="Y39" s="1"/>
  <c r="Z39" s="1"/>
  <c r="AA41"/>
  <c r="N39"/>
  <c r="N33"/>
  <c r="N29"/>
  <c r="N25"/>
  <c r="N21"/>
  <c r="N15"/>
  <c r="N11"/>
  <c r="N34"/>
  <c r="N30"/>
  <c r="N26"/>
  <c r="N22"/>
  <c r="N16"/>
  <c r="N12"/>
  <c r="N37"/>
  <c r="N31"/>
  <c r="N27"/>
  <c r="N23"/>
  <c r="N17"/>
  <c r="N13"/>
  <c r="N9"/>
  <c r="N38"/>
  <c r="N32"/>
  <c r="N28"/>
  <c r="N24"/>
  <c r="N18"/>
  <c r="N14"/>
  <c r="N10"/>
  <c r="B39"/>
  <c r="B33"/>
  <c r="B29"/>
  <c r="B25"/>
  <c r="B21"/>
  <c r="B15"/>
  <c r="B11"/>
  <c r="B34"/>
  <c r="B30"/>
  <c r="B26"/>
  <c r="B22"/>
  <c r="B16"/>
  <c r="B12"/>
  <c r="B37"/>
  <c r="B31"/>
  <c r="B27"/>
  <c r="B23"/>
  <c r="B17"/>
  <c r="B13"/>
  <c r="B9"/>
  <c r="B38"/>
  <c r="B32"/>
  <c r="B28"/>
  <c r="B24"/>
  <c r="B18"/>
  <c r="B14"/>
  <c r="B10"/>
  <c r="F39"/>
  <c r="F33"/>
  <c r="F29"/>
  <c r="F25"/>
  <c r="F21"/>
  <c r="F15"/>
  <c r="F11"/>
  <c r="F34"/>
  <c r="F30"/>
  <c r="F26"/>
  <c r="F22"/>
  <c r="F16"/>
  <c r="F12"/>
  <c r="F37"/>
  <c r="F31"/>
  <c r="F27"/>
  <c r="F23"/>
  <c r="F17"/>
  <c r="F13"/>
  <c r="F9"/>
  <c r="F38"/>
  <c r="F32"/>
  <c r="F28"/>
  <c r="F24"/>
  <c r="F18"/>
  <c r="F14"/>
  <c r="F10"/>
  <c r="U54"/>
  <c r="T51"/>
  <c r="T52" s="1"/>
  <c r="T49"/>
  <c r="T41" s="1"/>
  <c r="G49"/>
  <c r="G41" s="1"/>
  <c r="K49"/>
  <c r="K41" s="1"/>
  <c r="O49"/>
  <c r="O41" s="1"/>
  <c r="S49"/>
  <c r="S41" s="1"/>
  <c r="F40" i="82" l="1"/>
  <c r="F48"/>
  <c r="F54"/>
  <c r="J40"/>
  <c r="J48" s="1"/>
  <c r="I41"/>
  <c r="J41" s="1"/>
  <c r="J54"/>
  <c r="E48" i="73"/>
  <c r="O38" i="71"/>
  <c r="O32"/>
  <c r="O28"/>
  <c r="O24"/>
  <c r="O18"/>
  <c r="O14"/>
  <c r="O10"/>
  <c r="O39"/>
  <c r="O33"/>
  <c r="O29"/>
  <c r="O25"/>
  <c r="O21"/>
  <c r="O15"/>
  <c r="O11"/>
  <c r="O34"/>
  <c r="O30"/>
  <c r="O26"/>
  <c r="O22"/>
  <c r="O16"/>
  <c r="O12"/>
  <c r="O37"/>
  <c r="O31"/>
  <c r="O27"/>
  <c r="O23"/>
  <c r="O17"/>
  <c r="O13"/>
  <c r="O9"/>
  <c r="G38"/>
  <c r="G32"/>
  <c r="G28"/>
  <c r="G24"/>
  <c r="G18"/>
  <c r="G14"/>
  <c r="G10"/>
  <c r="G39"/>
  <c r="G33"/>
  <c r="G29"/>
  <c r="G25"/>
  <c r="G21"/>
  <c r="G15"/>
  <c r="G11"/>
  <c r="G34"/>
  <c r="G30"/>
  <c r="G26"/>
  <c r="G22"/>
  <c r="G16"/>
  <c r="G12"/>
  <c r="G37"/>
  <c r="G31"/>
  <c r="G27"/>
  <c r="G23"/>
  <c r="G17"/>
  <c r="G13"/>
  <c r="G9"/>
  <c r="K38"/>
  <c r="K32"/>
  <c r="K28"/>
  <c r="K24"/>
  <c r="K18"/>
  <c r="K14"/>
  <c r="K10"/>
  <c r="K39"/>
  <c r="K33"/>
  <c r="K29"/>
  <c r="K25"/>
  <c r="K21"/>
  <c r="K15"/>
  <c r="K11"/>
  <c r="K34"/>
  <c r="K30"/>
  <c r="K26"/>
  <c r="K22"/>
  <c r="K16"/>
  <c r="K12"/>
  <c r="K37"/>
  <c r="K31"/>
  <c r="K27"/>
  <c r="K23"/>
  <c r="K17"/>
  <c r="K13"/>
  <c r="K9"/>
  <c r="V54"/>
  <c r="U51"/>
  <c r="U52" s="1"/>
  <c r="W54" l="1"/>
  <c r="V51"/>
  <c r="V52" s="1"/>
  <c r="U49"/>
  <c r="U41" s="1"/>
  <c r="J50" i="73" l="1"/>
  <c r="V49" i="71"/>
  <c r="V41" s="1"/>
  <c r="X54"/>
  <c r="W51"/>
  <c r="W52" s="1"/>
  <c r="C52" i="73" l="1"/>
  <c r="J53" s="1"/>
  <c r="F102"/>
  <c r="E51"/>
  <c r="C51" s="1"/>
  <c r="J51" s="1"/>
  <c r="Y54" i="71"/>
  <c r="X51"/>
  <c r="X52" s="1"/>
  <c r="W49"/>
  <c r="W41" s="1"/>
  <c r="E71" i="73" l="1"/>
  <c r="C71" s="1"/>
  <c r="J71" s="1"/>
  <c r="K71" s="1"/>
  <c r="J52"/>
  <c r="Z54" i="71"/>
  <c r="Y51"/>
  <c r="Y52" s="1"/>
  <c r="X49"/>
  <c r="X41" s="1"/>
  <c r="C72" i="73" l="1"/>
  <c r="Z51" i="71"/>
  <c r="Z52" s="1"/>
  <c r="Y49"/>
  <c r="Y41" s="1"/>
  <c r="J72" i="73" l="1"/>
  <c r="E78"/>
  <c r="C78" s="1"/>
  <c r="E77"/>
  <c r="C77" s="1"/>
  <c r="G81"/>
  <c r="E81" s="1"/>
  <c r="E73"/>
  <c r="C73" s="1"/>
  <c r="J73" s="1"/>
  <c r="Z49" i="71"/>
  <c r="Z41" s="1"/>
  <c r="J79" i="73" l="1"/>
  <c r="E75"/>
  <c r="C75" s="1"/>
  <c r="J76" s="1"/>
  <c r="E74"/>
  <c r="C74" s="1"/>
  <c r="J74" s="1"/>
  <c r="E82"/>
  <c r="J75" l="1"/>
  <c r="E94" l="1"/>
  <c r="C94" s="1"/>
  <c r="E96" l="1"/>
  <c r="C96" s="1"/>
  <c r="E95"/>
  <c r="C95" s="1"/>
  <c r="E99" l="1"/>
  <c r="G102"/>
  <c r="E102" l="1"/>
  <c r="C99"/>
  <c r="J100" s="1"/>
  <c r="E59" i="22" l="1"/>
  <c r="O13" i="62" l="1"/>
  <c r="N13"/>
  <c r="M13"/>
  <c r="L13"/>
  <c r="N29"/>
  <c r="M29"/>
  <c r="O28"/>
  <c r="N28"/>
  <c r="M28"/>
  <c r="O27"/>
  <c r="N27"/>
  <c r="M27"/>
  <c r="O26"/>
  <c r="N26"/>
  <c r="M26"/>
  <c r="O25"/>
  <c r="N25"/>
  <c r="M25"/>
  <c r="O24"/>
  <c r="N24"/>
  <c r="M24"/>
  <c r="O23"/>
  <c r="N23"/>
  <c r="M23"/>
  <c r="O22"/>
  <c r="N22"/>
  <c r="M22"/>
  <c r="O21"/>
  <c r="N21"/>
  <c r="M21"/>
  <c r="O20"/>
  <c r="N20"/>
  <c r="M20"/>
  <c r="O19"/>
  <c r="N19"/>
  <c r="M19"/>
  <c r="O18"/>
  <c r="N18"/>
  <c r="M18"/>
  <c r="O17"/>
  <c r="N17"/>
  <c r="M17"/>
  <c r="O16"/>
  <c r="N16"/>
  <c r="M16"/>
  <c r="O15"/>
  <c r="N15"/>
  <c r="M15"/>
  <c r="L15"/>
  <c r="L16"/>
  <c r="L17"/>
  <c r="L18"/>
  <c r="L19"/>
  <c r="L20"/>
  <c r="L21"/>
  <c r="L22"/>
  <c r="L23"/>
  <c r="L25"/>
  <c r="L26"/>
  <c r="L27"/>
  <c r="L28"/>
  <c r="E48"/>
  <c r="G47"/>
  <c r="F47"/>
  <c r="E47"/>
  <c r="G46"/>
  <c r="F46"/>
  <c r="E46"/>
  <c r="AD11" i="48" l="1"/>
  <c r="K13" i="21"/>
  <c r="J12"/>
  <c r="H12"/>
  <c r="F12"/>
  <c r="J16"/>
  <c r="J13"/>
  <c r="H16"/>
  <c r="D14"/>
  <c r="D16"/>
  <c r="D17"/>
  <c r="F17" s="1"/>
  <c r="D18"/>
  <c r="J18" s="1"/>
  <c r="D19"/>
  <c r="F19" s="1"/>
  <c r="D20"/>
  <c r="F20" s="1"/>
  <c r="G20" s="1"/>
  <c r="D21"/>
  <c r="F21" s="1"/>
  <c r="G21" s="1"/>
  <c r="D22"/>
  <c r="F22" s="1"/>
  <c r="G22" s="1"/>
  <c r="D23"/>
  <c r="F23" s="1"/>
  <c r="G23" s="1"/>
  <c r="D24"/>
  <c r="F24" s="1"/>
  <c r="G24" s="1"/>
  <c r="D25"/>
  <c r="F25" s="1"/>
  <c r="G25" s="1"/>
  <c r="D26"/>
  <c r="F26" s="1"/>
  <c r="G26" s="1"/>
  <c r="D27"/>
  <c r="E28" s="1"/>
  <c r="F13"/>
  <c r="E27" l="1"/>
  <c r="E23"/>
  <c r="E19"/>
  <c r="H17"/>
  <c r="I17" s="1"/>
  <c r="E14"/>
  <c r="E15"/>
  <c r="E24"/>
  <c r="E20"/>
  <c r="F27"/>
  <c r="E21"/>
  <c r="E17"/>
  <c r="F18"/>
  <c r="G18" s="1"/>
  <c r="H18"/>
  <c r="F16"/>
  <c r="G17" s="1"/>
  <c r="E16"/>
  <c r="E25"/>
  <c r="E26"/>
  <c r="E22"/>
  <c r="E18"/>
  <c r="I28"/>
  <c r="J17"/>
  <c r="I34"/>
  <c r="I16"/>
  <c r="F15"/>
  <c r="G16" s="1"/>
  <c r="F14"/>
  <c r="G15" s="1"/>
  <c r="H14"/>
  <c r="J14"/>
  <c r="G13"/>
  <c r="I18"/>
  <c r="I27"/>
  <c r="I23"/>
  <c r="I19"/>
  <c r="I14" l="1"/>
  <c r="I15"/>
  <c r="K27"/>
  <c r="K28"/>
  <c r="G19"/>
  <c r="G28"/>
  <c r="G27"/>
  <c r="I22"/>
  <c r="K34"/>
  <c r="G14"/>
  <c r="I24"/>
  <c r="I20"/>
  <c r="I25"/>
  <c r="I21"/>
  <c r="I26"/>
  <c r="B12" i="48" l="1"/>
  <c r="B13" s="1"/>
  <c r="B14" s="1"/>
  <c r="B14" i="21"/>
  <c r="B15" s="1"/>
  <c r="B16" s="1"/>
  <c r="B17" s="1"/>
  <c r="B18" s="1"/>
  <c r="B19" s="1"/>
  <c r="B20" s="1"/>
  <c r="K14"/>
  <c r="K15"/>
  <c r="K16"/>
  <c r="K17"/>
  <c r="K18"/>
  <c r="K19"/>
  <c r="K20"/>
  <c r="B9" i="22"/>
  <c r="B10"/>
  <c r="B11" s="1"/>
  <c r="B12" s="1"/>
  <c r="B13" s="1"/>
  <c r="B14" s="1"/>
  <c r="B15" s="1"/>
  <c r="B16" s="1"/>
  <c r="B17" s="1"/>
  <c r="B18" s="1"/>
  <c r="B19" s="1"/>
  <c r="B20" s="1"/>
  <c r="B21" s="1"/>
  <c r="B22" s="1"/>
  <c r="B23" s="1"/>
  <c r="B24" s="1"/>
  <c r="B25" s="1"/>
  <c r="B26" s="1"/>
  <c r="B27" s="1"/>
  <c r="B28" s="1"/>
  <c r="C24"/>
  <c r="C23"/>
  <c r="C22" s="1"/>
  <c r="C21" s="1"/>
  <c r="C20" s="1"/>
  <c r="C19"/>
  <c r="C18" s="1"/>
  <c r="C17" s="1"/>
  <c r="C16" s="1"/>
  <c r="C15" s="1"/>
  <c r="C14" s="1"/>
  <c r="C13" s="1"/>
  <c r="C12" s="1"/>
  <c r="C11" s="1"/>
  <c r="C10" s="1"/>
  <c r="C9" s="1"/>
  <c r="C8" s="1"/>
  <c r="C26"/>
  <c r="C27"/>
  <c r="C28" s="1"/>
  <c r="C29" s="1"/>
  <c r="C30" s="1"/>
  <c r="C31" s="1"/>
  <c r="C32" s="1"/>
  <c r="C33" s="1"/>
  <c r="C34" s="1"/>
  <c r="C35" s="1"/>
  <c r="C36" s="1"/>
  <c r="C37" s="1"/>
  <c r="C38" s="1"/>
  <c r="C39" s="1"/>
  <c r="C40" s="1"/>
  <c r="C41" s="1"/>
  <c r="C42" s="1"/>
  <c r="C43" s="1"/>
  <c r="C44" s="1"/>
  <c r="C45" s="1"/>
  <c r="C46" s="1"/>
  <c r="C47" s="1"/>
  <c r="C48" l="1"/>
  <c r="B29"/>
  <c r="B30" s="1"/>
  <c r="B31" s="1"/>
  <c r="B32" s="1"/>
  <c r="B33" s="1"/>
  <c r="B34" s="1"/>
  <c r="B35" s="1"/>
  <c r="B21" i="21"/>
  <c r="B22" s="1"/>
  <c r="B23" s="1"/>
  <c r="B24" s="1"/>
  <c r="B25" s="1"/>
  <c r="B26" s="1"/>
  <c r="B27" s="1"/>
  <c r="B15" i="48"/>
  <c r="B16" l="1"/>
  <c r="B17" s="1"/>
  <c r="B18" s="1"/>
  <c r="B19" s="1"/>
  <c r="B20" s="1"/>
  <c r="B21" s="1"/>
  <c r="B22" s="1"/>
  <c r="B23" s="1"/>
  <c r="B24" s="1"/>
  <c r="W42" s="1"/>
  <c r="AE15"/>
  <c r="AF11"/>
  <c r="D14" i="30"/>
  <c r="B36" i="22"/>
  <c r="B37" s="1"/>
  <c r="B38" l="1"/>
  <c r="D55"/>
  <c r="B25" i="48"/>
  <c r="B26" s="1"/>
  <c r="H31" s="1"/>
  <c r="AE11"/>
  <c r="B39" i="22"/>
  <c r="B40" s="1"/>
  <c r="K21" i="21"/>
  <c r="D31" i="48" l="1"/>
  <c r="F31"/>
  <c r="B27"/>
  <c r="K22" i="21"/>
  <c r="B41" i="22"/>
  <c r="B42" s="1"/>
  <c r="B43" s="1"/>
  <c r="B44" s="1"/>
  <c r="B45" s="1"/>
  <c r="B46" s="1"/>
  <c r="B47" s="1"/>
  <c r="B48" l="1"/>
  <c r="B49" s="1"/>
  <c r="B50" s="1"/>
  <c r="D57"/>
  <c r="K23" i="21"/>
  <c r="K24" l="1"/>
  <c r="K25" l="1"/>
  <c r="K26" l="1"/>
  <c r="AF15" i="48" l="1"/>
  <c r="AF26"/>
  <c r="AE26"/>
  <c r="AG26"/>
  <c r="AG15"/>
  <c r="E57" i="73" l="1"/>
  <c r="E56"/>
  <c r="C56" s="1"/>
  <c r="J56" s="1"/>
  <c r="C57" l="1"/>
  <c r="C60" s="1"/>
  <c r="E59"/>
  <c r="E98"/>
  <c r="C98" l="1"/>
  <c r="J99" s="1"/>
  <c r="E103"/>
  <c r="J57"/>
  <c r="B50" i="95" l="1"/>
  <c r="D50" l="1"/>
  <c r="D50" i="97"/>
  <c r="D50" i="96"/>
  <c r="B50"/>
  <c r="B51" i="95"/>
  <c r="C50"/>
  <c r="B50" i="97"/>
  <c r="F50" l="1"/>
  <c r="B51"/>
  <c r="C50"/>
  <c r="C51" i="95"/>
  <c r="B52"/>
  <c r="E50" i="96"/>
  <c r="D51"/>
  <c r="F50" i="95"/>
  <c r="D51"/>
  <c r="E50"/>
  <c r="F50" i="96"/>
  <c r="B51"/>
  <c r="C50"/>
  <c r="E50" i="97"/>
  <c r="D51"/>
  <c r="D52" l="1"/>
  <c r="E51"/>
  <c r="F51"/>
  <c r="F51" i="96"/>
  <c r="D52"/>
  <c r="E51"/>
  <c r="B53" i="95"/>
  <c r="C52"/>
  <c r="B52" i="96"/>
  <c r="C51"/>
  <c r="B52" i="97"/>
  <c r="C51"/>
  <c r="D52" i="95"/>
  <c r="E51"/>
  <c r="F51"/>
  <c r="D53" i="96" l="1"/>
  <c r="E52"/>
  <c r="F52"/>
  <c r="F52" i="97"/>
  <c r="D53"/>
  <c r="E52"/>
  <c r="B53"/>
  <c r="C52"/>
  <c r="E52" i="95"/>
  <c r="F52"/>
  <c r="D53"/>
  <c r="B54"/>
  <c r="C53"/>
  <c r="C82" s="1"/>
  <c r="C18" i="30" s="1"/>
  <c r="B53" i="96"/>
  <c r="C52"/>
  <c r="C53" l="1"/>
  <c r="C82" s="1"/>
  <c r="C23" i="30" s="1"/>
  <c r="B54" i="96"/>
  <c r="D54" i="95"/>
  <c r="E53"/>
  <c r="F53"/>
  <c r="F82" s="1"/>
  <c r="F18" i="30" s="1"/>
  <c r="C53" i="97"/>
  <c r="C82" s="1"/>
  <c r="C28" i="30" s="1"/>
  <c r="B54" i="97"/>
  <c r="B55" i="95"/>
  <c r="C54"/>
  <c r="D54" i="97"/>
  <c r="E53"/>
  <c r="E82" s="1"/>
  <c r="F53"/>
  <c r="D54" i="96"/>
  <c r="E53"/>
  <c r="E82" s="1"/>
  <c r="F53"/>
  <c r="F82" s="1"/>
  <c r="F23" i="30" s="1"/>
  <c r="E23" l="1"/>
  <c r="D82" i="96"/>
  <c r="D23" i="30" s="1"/>
  <c r="E28"/>
  <c r="D82" i="97"/>
  <c r="D28" i="30" s="1"/>
  <c r="F54" i="97"/>
  <c r="B55"/>
  <c r="C54"/>
  <c r="D55" i="95"/>
  <c r="F54"/>
  <c r="E54"/>
  <c r="D55" i="96"/>
  <c r="E54"/>
  <c r="F54"/>
  <c r="E82" i="95"/>
  <c r="F82" i="97"/>
  <c r="F28" i="30" s="1"/>
  <c r="B56" i="95"/>
  <c r="C55"/>
  <c r="D55" i="97"/>
  <c r="E54"/>
  <c r="B55" i="96"/>
  <c r="C54"/>
  <c r="F55" l="1"/>
  <c r="B56"/>
  <c r="C55"/>
  <c r="B57" i="95"/>
  <c r="C56"/>
  <c r="E18" i="30"/>
  <c r="D82" i="95"/>
  <c r="D18" i="30" s="1"/>
  <c r="D56" i="96"/>
  <c r="E55"/>
  <c r="F55" i="95"/>
  <c r="D56"/>
  <c r="E55"/>
  <c r="D56" i="97"/>
  <c r="E55"/>
  <c r="F55"/>
  <c r="B56"/>
  <c r="C55"/>
  <c r="D57" i="96" l="1"/>
  <c r="E56"/>
  <c r="F56"/>
  <c r="C57" i="95"/>
  <c r="B58"/>
  <c r="B57" i="97"/>
  <c r="C56"/>
  <c r="E56"/>
  <c r="F56"/>
  <c r="D57"/>
  <c r="B57" i="96"/>
  <c r="C56"/>
  <c r="D57" i="95"/>
  <c r="E56"/>
  <c r="F56"/>
  <c r="F57" l="1"/>
  <c r="D58"/>
  <c r="E57"/>
  <c r="E57" i="97"/>
  <c r="F57"/>
  <c r="D58"/>
  <c r="C57"/>
  <c r="B58"/>
  <c r="C57" i="96"/>
  <c r="B58"/>
  <c r="C58" i="95"/>
  <c r="B59"/>
  <c r="E57" i="96"/>
  <c r="D58"/>
  <c r="F57"/>
  <c r="D59" l="1"/>
  <c r="F58"/>
  <c r="E58"/>
  <c r="C59" i="95"/>
  <c r="B60"/>
  <c r="B59" i="96"/>
  <c r="C58"/>
  <c r="E58" i="97"/>
  <c r="F58"/>
  <c r="D59"/>
  <c r="F58" i="95"/>
  <c r="E58"/>
  <c r="D59"/>
  <c r="B59" i="97"/>
  <c r="C58"/>
  <c r="D60" i="96" l="1"/>
  <c r="E59"/>
  <c r="B61" i="95"/>
  <c r="C60"/>
  <c r="F59"/>
  <c r="E59"/>
  <c r="D60"/>
  <c r="B60" i="97"/>
  <c r="C59"/>
  <c r="D60"/>
  <c r="E59"/>
  <c r="F59"/>
  <c r="F59" i="96"/>
  <c r="B60"/>
  <c r="C59"/>
  <c r="D61" i="97" l="1"/>
  <c r="E60"/>
  <c r="F60" i="96"/>
  <c r="B61"/>
  <c r="C60"/>
  <c r="F60" i="95"/>
  <c r="D61"/>
  <c r="E60"/>
  <c r="F60" i="97"/>
  <c r="B61"/>
  <c r="C60"/>
  <c r="B62" i="95"/>
  <c r="C61"/>
  <c r="D61" i="96"/>
  <c r="E60"/>
  <c r="B63" i="95" l="1"/>
  <c r="C62"/>
  <c r="B62" i="96"/>
  <c r="C61"/>
  <c r="E61" i="97"/>
  <c r="D62"/>
  <c r="D62" i="96"/>
  <c r="E61"/>
  <c r="F61"/>
  <c r="F61" i="97"/>
  <c r="C61"/>
  <c r="B62"/>
  <c r="E61" i="95"/>
  <c r="D62"/>
  <c r="F61"/>
  <c r="B64" l="1"/>
  <c r="C64" s="1"/>
  <c r="C63"/>
  <c r="E62"/>
  <c r="F62"/>
  <c r="D63"/>
  <c r="D64" s="1"/>
  <c r="E64" s="1"/>
  <c r="E62" i="97"/>
  <c r="D63"/>
  <c r="F62"/>
  <c r="D63" i="96"/>
  <c r="E62"/>
  <c r="F62"/>
  <c r="C62"/>
  <c r="B63"/>
  <c r="C62" i="97"/>
  <c r="B63"/>
  <c r="C63" l="1"/>
  <c r="B64"/>
  <c r="C64" s="1"/>
  <c r="E63"/>
  <c r="F63"/>
  <c r="D64"/>
  <c r="B64" i="96"/>
  <c r="C64" s="1"/>
  <c r="C63"/>
  <c r="F63"/>
  <c r="D64"/>
  <c r="E63"/>
  <c r="F63" i="95"/>
  <c r="E63"/>
  <c r="C66"/>
  <c r="C83"/>
  <c r="C19" i="30" s="1"/>
  <c r="F64" i="96" l="1"/>
  <c r="E64"/>
  <c r="E64" i="97"/>
  <c r="F64"/>
  <c r="C66" i="96"/>
  <c r="C83"/>
  <c r="C24" i="30" s="1"/>
  <c r="C66" i="97"/>
  <c r="C83"/>
  <c r="C29" i="30" s="1"/>
  <c r="F64" i="95"/>
  <c r="F83" s="1"/>
  <c r="F66" l="1"/>
  <c r="F19" i="30"/>
  <c r="F66" i="96"/>
  <c r="F83"/>
  <c r="F24" i="30" s="1"/>
  <c r="E66" i="95"/>
  <c r="E83"/>
  <c r="E66" i="96"/>
  <c r="E83"/>
  <c r="E66" i="97"/>
  <c r="E83"/>
  <c r="F66"/>
  <c r="F83"/>
  <c r="F29" i="30" s="1"/>
  <c r="E29" l="1"/>
  <c r="D83" i="97"/>
  <c r="D29" i="30" s="1"/>
  <c r="E19"/>
  <c r="D83" i="95"/>
  <c r="D19" i="30" s="1"/>
  <c r="E24"/>
  <c r="D83" i="96"/>
  <c r="D24" i="30" s="1"/>
</calcChain>
</file>

<file path=xl/comments1.xml><?xml version="1.0" encoding="utf-8"?>
<comments xmlns="http://schemas.openxmlformats.org/spreadsheetml/2006/main">
  <authors>
    <author>Mrivera</author>
    <author>Cbermudez</author>
  </authors>
  <commentList>
    <comment ref="U8" authorId="0">
      <text>
        <r>
          <rPr>
            <b/>
            <sz val="8"/>
            <color indexed="81"/>
            <rFont val="Tahoma"/>
            <family val="2"/>
          </rPr>
          <t>Mrivera:</t>
        </r>
        <r>
          <rPr>
            <sz val="8"/>
            <color indexed="81"/>
            <rFont val="Tahoma"/>
            <family val="2"/>
          </rPr>
          <t xml:space="preserve">
Se verificó además la aproximación de la tasa, a la estimada como promedio de estimados y consulta con otras fuetes.</t>
        </r>
      </text>
    </comment>
    <comment ref="Y8" authorId="0">
      <text>
        <r>
          <rPr>
            <b/>
            <sz val="8"/>
            <color indexed="81"/>
            <rFont val="Tahoma"/>
            <family val="2"/>
          </rPr>
          <t>Mrivera:</t>
        </r>
        <r>
          <rPr>
            <sz val="8"/>
            <color indexed="81"/>
            <rFont val="Tahoma"/>
            <family val="2"/>
          </rPr>
          <t xml:space="preserve">
Se verificó además la aproximación de la tasa, a la estimada como promedio de estimados y consulta con otras fuetes.</t>
        </r>
      </text>
    </comment>
    <comment ref="O9" authorId="0">
      <text>
        <r>
          <rPr>
            <b/>
            <sz val="8"/>
            <color indexed="81"/>
            <rFont val="Tahoma"/>
            <family val="2"/>
          </rPr>
          <t>Mrivera:</t>
        </r>
        <r>
          <rPr>
            <sz val="8"/>
            <color indexed="81"/>
            <rFont val="Tahoma"/>
            <family val="2"/>
          </rPr>
          <t xml:space="preserve">
Pronóstico tendencial, ecuación lineal.</t>
        </r>
      </text>
    </comment>
    <comment ref="W14" authorId="0">
      <text>
        <r>
          <rPr>
            <b/>
            <sz val="8"/>
            <color indexed="81"/>
            <rFont val="Tahoma"/>
            <family val="2"/>
          </rPr>
          <t>Mrivera:</t>
        </r>
        <r>
          <rPr>
            <sz val="8"/>
            <color indexed="81"/>
            <rFont val="Tahoma"/>
            <family val="2"/>
          </rPr>
          <t xml:space="preserve">
Se determinó este valor por búsqueda de objetivo para lograr la variación promedio ponderada de algunos indicadores del sector</t>
        </r>
      </text>
    </comment>
    <comment ref="W17" authorId="0">
      <text>
        <r>
          <rPr>
            <b/>
            <sz val="8"/>
            <color indexed="81"/>
            <rFont val="Tahoma"/>
            <family val="2"/>
          </rPr>
          <t>Mrivera:</t>
        </r>
        <r>
          <rPr>
            <sz val="8"/>
            <color indexed="81"/>
            <rFont val="Tahoma"/>
            <family val="2"/>
          </rPr>
          <t xml:space="preserve">
Se determinó este valor por búsqueda de objetivo para lograr la tasa promedio de consulta.</t>
        </r>
      </text>
    </comment>
    <comment ref="Y41" authorId="1">
      <text>
        <r>
          <rPr>
            <b/>
            <sz val="9"/>
            <color indexed="81"/>
            <rFont val="Tahoma"/>
            <family val="2"/>
          </rPr>
          <t>Cbermudez:</t>
        </r>
        <r>
          <rPr>
            <sz val="9"/>
            <color indexed="81"/>
            <rFont val="Tahoma"/>
            <family val="2"/>
          </rPr>
          <t xml:space="preserve">
Se utiliza el Prome4dio de los Pronosticos  mas favorables 
 </t>
        </r>
      </text>
    </comment>
  </commentList>
</comments>
</file>

<file path=xl/comments2.xml><?xml version="1.0" encoding="utf-8"?>
<comments xmlns="http://schemas.openxmlformats.org/spreadsheetml/2006/main">
  <authors>
    <author>Cbermudez</author>
  </authors>
  <commentList>
    <comment ref="J45" authorId="0">
      <text>
        <r>
          <rPr>
            <b/>
            <sz val="9"/>
            <color indexed="81"/>
            <rFont val="Tahoma"/>
            <family val="2"/>
          </rPr>
          <t>Cbermudez:</t>
        </r>
        <r>
          <rPr>
            <sz val="9"/>
            <color indexed="81"/>
            <rFont val="Tahoma"/>
            <family val="2"/>
          </rPr>
          <t xml:space="preserve">
Mas alto que el pronostico màximo publicado </t>
        </r>
      </text>
    </comment>
    <comment ref="J49" authorId="0">
      <text>
        <r>
          <rPr>
            <b/>
            <sz val="9"/>
            <color indexed="81"/>
            <rFont val="Tahoma"/>
            <family val="2"/>
          </rPr>
          <t>Cbermudez:</t>
        </r>
        <r>
          <rPr>
            <sz val="9"/>
            <color indexed="81"/>
            <rFont val="Tahoma"/>
            <family val="2"/>
          </rPr>
          <t xml:space="preserve">
Mas alto que el pronostico màximo publicado </t>
        </r>
      </text>
    </comment>
  </commentList>
</comments>
</file>

<file path=xl/comments3.xml><?xml version="1.0" encoding="utf-8"?>
<comments xmlns="http://schemas.openxmlformats.org/spreadsheetml/2006/main">
  <authors>
    <author>Cbermudez</author>
  </authors>
  <commentList>
    <comment ref="K44" authorId="0">
      <text>
        <r>
          <rPr>
            <b/>
            <sz val="9"/>
            <color indexed="81"/>
            <rFont val="Tahoma"/>
            <family val="2"/>
          </rPr>
          <t>Cbermudez:</t>
        </r>
        <r>
          <rPr>
            <sz val="9"/>
            <color indexed="81"/>
            <rFont val="Tahoma"/>
            <family val="2"/>
          </rPr>
          <t xml:space="preserve">
con base en la estructura de uno de los mejores desempeños de los ultimos años, 2008 , 10.2%</t>
        </r>
      </text>
    </comment>
    <comment ref="N44" authorId="0">
      <text>
        <r>
          <rPr>
            <b/>
            <sz val="9"/>
            <color indexed="81"/>
            <rFont val="Tahoma"/>
            <family val="2"/>
          </rPr>
          <t>Cbermudez:</t>
        </r>
        <r>
          <rPr>
            <sz val="9"/>
            <color indexed="81"/>
            <rFont val="Tahoma"/>
            <family val="2"/>
          </rPr>
          <t xml:space="preserve">
Con Base en promedio de pronosticos publicados para 2012
7.2%
</t>
        </r>
      </text>
    </comment>
    <comment ref="Q44" authorId="0">
      <text>
        <r>
          <rPr>
            <b/>
            <sz val="9"/>
            <color indexed="81"/>
            <rFont val="Tahoma"/>
            <family val="2"/>
          </rPr>
          <t>Cbermudez:</t>
        </r>
        <r>
          <rPr>
            <sz val="9"/>
            <color indexed="81"/>
            <rFont val="Tahoma"/>
            <family val="2"/>
          </rPr>
          <t xml:space="preserve">
con base en el Peor desempeño de los ultimos años, 2009, con 3.9%
</t>
        </r>
      </text>
    </comment>
  </commentList>
</comments>
</file>

<file path=xl/comments4.xml><?xml version="1.0" encoding="utf-8"?>
<comments xmlns="http://schemas.openxmlformats.org/spreadsheetml/2006/main">
  <authors>
    <author>rramirez</author>
  </authors>
  <commentList>
    <comment ref="B10" authorId="0">
      <text>
        <r>
          <rPr>
            <b/>
            <sz val="8"/>
            <color indexed="81"/>
            <rFont val="Tahoma"/>
            <family val="2"/>
          </rPr>
          <t>rramirez:</t>
        </r>
        <r>
          <rPr>
            <sz val="8"/>
            <color indexed="81"/>
            <rFont val="Tahoma"/>
            <family val="2"/>
          </rPr>
          <t xml:space="preserve">
se ajustó al nuevo valor real. Anteriormente se habia  colocado para la proyección 4847</t>
        </r>
      </text>
    </comment>
    <comment ref="C10" authorId="0">
      <text>
        <r>
          <rPr>
            <b/>
            <sz val="8"/>
            <color indexed="81"/>
            <rFont val="Tahoma"/>
            <family val="2"/>
          </rPr>
          <t>rramirez:</t>
        </r>
        <r>
          <rPr>
            <sz val="8"/>
            <color indexed="81"/>
            <rFont val="Tahoma"/>
            <family val="2"/>
          </rPr>
          <t xml:space="preserve">
se ajustó a valores reales. Antes 901</t>
        </r>
      </text>
    </comment>
  </commentList>
</comments>
</file>

<file path=xl/comments5.xml><?xml version="1.0" encoding="utf-8"?>
<comments xmlns="http://schemas.openxmlformats.org/spreadsheetml/2006/main">
  <authors>
    <author>Rramirez</author>
  </authors>
  <commentList>
    <comment ref="B46" authorId="0">
      <text>
        <r>
          <rPr>
            <b/>
            <sz val="8"/>
            <color indexed="81"/>
            <rFont val="Tahoma"/>
            <family val="2"/>
          </rPr>
          <t>Rramirez:</t>
        </r>
        <r>
          <rPr>
            <sz val="8"/>
            <color indexed="81"/>
            <rFont val="Tahoma"/>
            <family val="2"/>
          </rPr>
          <t xml:space="preserve">
Tomado del reporte de ASEP para final del segundo semestre 2007</t>
        </r>
      </text>
    </comment>
  </commentList>
</comments>
</file>

<file path=xl/sharedStrings.xml><?xml version="1.0" encoding="utf-8"?>
<sst xmlns="http://schemas.openxmlformats.org/spreadsheetml/2006/main" count="1303" uniqueCount="674">
  <si>
    <t>TOTAL</t>
  </si>
  <si>
    <t>PROMEDIO</t>
  </si>
  <si>
    <t>Fórmula</t>
  </si>
  <si>
    <t>TASAS</t>
  </si>
  <si>
    <t>Precio Electricidad</t>
  </si>
  <si>
    <t>Fórmula- Modelo</t>
  </si>
  <si>
    <t>B/.de 1982</t>
  </si>
  <si>
    <t>Promedio</t>
  </si>
  <si>
    <t>AÑO</t>
  </si>
  <si>
    <t>EVOLUCIÓN DE PRECIOS DE LA ELECTRICIDAD</t>
  </si>
  <si>
    <t>IPCPAN</t>
  </si>
  <si>
    <t>INFPAN</t>
  </si>
  <si>
    <t>Precio de la EnergíaEléctrica</t>
  </si>
  <si>
    <t>IPC anual de Panamá (1987 = 100)</t>
  </si>
  <si>
    <t>Inflación de Panamá</t>
  </si>
  <si>
    <t>Facturación</t>
  </si>
  <si>
    <t>Ventas</t>
  </si>
  <si>
    <t>COPE 1971-2002</t>
  </si>
  <si>
    <t>Var anual</t>
  </si>
  <si>
    <t>Millones B/.</t>
  </si>
  <si>
    <t>GWh</t>
  </si>
  <si>
    <t>Centavos/KWh</t>
  </si>
  <si>
    <t>IPC-B-1987</t>
  </si>
  <si>
    <t>IPC-B-1982</t>
  </si>
  <si>
    <t>%</t>
  </si>
  <si>
    <t>Var.EEPma</t>
  </si>
  <si>
    <t>Var.Pet-EAI</t>
  </si>
  <si>
    <t>Var-Pma-desfase 1 año</t>
  </si>
  <si>
    <t>1980-1990</t>
  </si>
  <si>
    <t>Millones de Balboas de 1982</t>
  </si>
  <si>
    <t>INDUSTRIA</t>
  </si>
  <si>
    <t xml:space="preserve">PREMISAS </t>
  </si>
  <si>
    <t>PIB</t>
  </si>
  <si>
    <t>MANUFACTURA</t>
  </si>
  <si>
    <t>ESCENARIO MODERADO</t>
  </si>
  <si>
    <t>ESCENARIO OPTIMISTA</t>
  </si>
  <si>
    <t>PIB TOTAL</t>
  </si>
  <si>
    <t>VAR%</t>
  </si>
  <si>
    <t>%/TOTAL</t>
  </si>
  <si>
    <t>DIF TASAS</t>
  </si>
  <si>
    <t>Promedios</t>
  </si>
  <si>
    <t>TASA</t>
  </si>
  <si>
    <t xml:space="preserve">TASA </t>
  </si>
  <si>
    <t>% /TOTAL</t>
  </si>
  <si>
    <t>1991-2000</t>
  </si>
  <si>
    <t>Máximo</t>
  </si>
  <si>
    <t>INDUSTRIAL</t>
  </si>
  <si>
    <t>PERIODOS</t>
  </si>
  <si>
    <t>DIFERENCIAS</t>
  </si>
  <si>
    <t>TASAS HISTÓRICAS (PIB- base 982)</t>
  </si>
  <si>
    <t>PERDIDAS</t>
  </si>
  <si>
    <t>Estructura respecto a Energía Disponible</t>
  </si>
  <si>
    <t>Total</t>
  </si>
  <si>
    <t>Transmision</t>
  </si>
  <si>
    <t>Distribución</t>
  </si>
  <si>
    <t>Transm.</t>
  </si>
  <si>
    <t>Distrib.</t>
  </si>
  <si>
    <t>Transmisión</t>
  </si>
  <si>
    <t>Técnicas</t>
  </si>
  <si>
    <t>No Técnicas</t>
  </si>
  <si>
    <t>PREMISAS PROYECCION ESCENARIO MODERADO</t>
  </si>
  <si>
    <t>Variacion periodo completo</t>
  </si>
  <si>
    <t>PREMISAS PROYECCION ESCENARIO OPTIMISTA</t>
  </si>
  <si>
    <t>PREMISAS DE PROYECCIÓN DE PÉRDIDAS DE ENERGÍA</t>
  </si>
  <si>
    <t>CUADRO No. 1</t>
  </si>
  <si>
    <t>CUADRO No. 2</t>
  </si>
  <si>
    <t>CUADRO No. 3</t>
  </si>
  <si>
    <t>CUADRO No. 4</t>
  </si>
  <si>
    <t>1987 = 100</t>
  </si>
  <si>
    <t>AÑOS</t>
  </si>
  <si>
    <t>GRAN DIVISIÓN ECONÓMICA</t>
  </si>
  <si>
    <t>E1</t>
  </si>
  <si>
    <t>E2</t>
  </si>
  <si>
    <t>E3</t>
  </si>
  <si>
    <t>AJUSTADO estructuras base E2</t>
  </si>
  <si>
    <t>1. Agricultura, silvicultura y caza</t>
  </si>
  <si>
    <t>2. Pesca</t>
  </si>
  <si>
    <t>3. Explotación de canteras</t>
  </si>
  <si>
    <t xml:space="preserve">    Subtotal Sector Primario</t>
  </si>
  <si>
    <t>4. Industria Manufacturera</t>
  </si>
  <si>
    <t>5. Electricidad, gas y agua</t>
  </si>
  <si>
    <t>6. Construcción</t>
  </si>
  <si>
    <t>7. Transporte, almacenamiento y comunicaciones</t>
  </si>
  <si>
    <t xml:space="preserve">    Subtotal Sector Secundario y de infraestructura</t>
  </si>
  <si>
    <t>8. Comercio al por mayor y al por menor</t>
  </si>
  <si>
    <t>9. Hoteles y Restaurantes</t>
  </si>
  <si>
    <t>10. Intermediación Financiera</t>
  </si>
  <si>
    <t>11. Actividades Inmobiliarias, empresariales y de alquiler</t>
  </si>
  <si>
    <t>12. Enseñanza Privada</t>
  </si>
  <si>
    <t>Menos: Servicio de intermediación financiera</t>
  </si>
  <si>
    <t xml:space="preserve">     Subtotal Sector Terciario (comercial y financiero)</t>
  </si>
  <si>
    <t>13. Actividades de servicio sociales y de salud privada</t>
  </si>
  <si>
    <t>14. Otras actividades comunitarias, sociales y personales</t>
  </si>
  <si>
    <t>15. Productores de servicios gubernamentales</t>
  </si>
  <si>
    <t xml:space="preserve">  Construcción</t>
  </si>
  <si>
    <t xml:space="preserve">  Actividades Inmobiliarias, empresariales y de alquiler</t>
  </si>
  <si>
    <t xml:space="preserve">  Hogares privados con servicio doméstico</t>
  </si>
  <si>
    <t>16. Productores de servicios domésticos</t>
  </si>
  <si>
    <t xml:space="preserve">     Subtotal Sector Terciario (oficial y personal)</t>
  </si>
  <si>
    <t>Más: Derechos de importancia e ITBM</t>
  </si>
  <si>
    <t>Más: ITBM que graba las compras de los hogares</t>
  </si>
  <si>
    <t>Más: Otros impuestos a los productores</t>
  </si>
  <si>
    <t>Menos: Subvenciones a los productos</t>
  </si>
  <si>
    <t xml:space="preserve">     Subtotal Impuestos y transferencias</t>
  </si>
  <si>
    <t>Producto Interno Bruto Real</t>
  </si>
  <si>
    <t>TASA DE CRECIMIENTO ANUAL</t>
  </si>
  <si>
    <t>&lt;--- Tasa promedio de consultas.</t>
  </si>
  <si>
    <t>&lt;--- Diferencia</t>
  </si>
  <si>
    <t>Desde</t>
  </si>
  <si>
    <t>Hasta</t>
  </si>
  <si>
    <t>Sindicato de Industriales de Panamá (SIP)</t>
  </si>
  <si>
    <t>IMAE (Dato original CGR)</t>
  </si>
  <si>
    <t>IMAE (Ajuste desfase histórico 3 últimos años)</t>
  </si>
  <si>
    <t>PIB IMAE (Ajuste desfase histórico 6 últimos años )</t>
  </si>
  <si>
    <t>Promedio simple</t>
  </si>
  <si>
    <t>ANÁLISIS DEL FACTOR DE CARGA Y PROYECCIÓN LINEAL</t>
  </si>
  <si>
    <t>FC</t>
  </si>
  <si>
    <t>EE</t>
  </si>
  <si>
    <t>Estimado</t>
  </si>
  <si>
    <t>Error</t>
  </si>
  <si>
    <t>Var Anual</t>
  </si>
  <si>
    <t>Promedios----&gt;</t>
  </si>
  <si>
    <t>Estimados:  Pronóstico Lineal</t>
  </si>
  <si>
    <t>por mecanismo de cálculo de  variación anual</t>
  </si>
  <si>
    <t>EDECHI</t>
  </si>
  <si>
    <t>EDEMET</t>
  </si>
  <si>
    <t>Santa María</t>
  </si>
  <si>
    <t>France Field</t>
  </si>
  <si>
    <t>Tocumen</t>
  </si>
  <si>
    <t>Chilibre</t>
  </si>
  <si>
    <t>Cerro Viento</t>
  </si>
  <si>
    <t>Monte Oscuro</t>
  </si>
  <si>
    <t>Tinajitas</t>
  </si>
  <si>
    <t>Locería</t>
  </si>
  <si>
    <t>Marañón</t>
  </si>
  <si>
    <t>San Francisco</t>
  </si>
  <si>
    <t>Centro Bancario</t>
  </si>
  <si>
    <t>Llano Sanchez 115</t>
  </si>
  <si>
    <t>Llano Sanchez 34</t>
  </si>
  <si>
    <t>Las Guias</t>
  </si>
  <si>
    <t>Chorrera 34</t>
  </si>
  <si>
    <t>Mata de Nance 34</t>
  </si>
  <si>
    <t>Progreso</t>
  </si>
  <si>
    <t>TOTAL DEMANDA</t>
  </si>
  <si>
    <t>TITULO</t>
  </si>
  <si>
    <t>No.</t>
  </si>
  <si>
    <t>CUADROS SOPORTE Y DETALLE DE CÁLCULOS</t>
  </si>
  <si>
    <t>PROYECCIONES DE DEMANDA</t>
  </si>
  <si>
    <t>1990-2007</t>
  </si>
  <si>
    <t>FUENTE:</t>
  </si>
  <si>
    <t>Dirección de Estadisticas y Censo, Panamá en Cifras 2002-06</t>
  </si>
  <si>
    <t>FMI</t>
  </si>
  <si>
    <t>Colegio de Economistas</t>
  </si>
  <si>
    <t>Deloitte</t>
  </si>
  <si>
    <t>CAMARA DE COMERCIO DE PANAMA</t>
  </si>
  <si>
    <t>APEDE</t>
  </si>
  <si>
    <t>Promedio AJUSTADO (Sin Extremos)</t>
  </si>
  <si>
    <t>PRODUCTO INTERNO BRUTO</t>
  </si>
  <si>
    <t>MODERADO</t>
  </si>
  <si>
    <t>Año</t>
  </si>
  <si>
    <r>
      <t xml:space="preserve">a) </t>
    </r>
    <r>
      <rPr>
        <b/>
        <sz val="10"/>
        <rFont val="Arial"/>
        <family val="2"/>
      </rPr>
      <t>PIB TOTAL:</t>
    </r>
    <r>
      <rPr>
        <sz val="10"/>
        <rFont val="Arial"/>
        <family val="2"/>
      </rPr>
      <t xml:space="preserve"> Escenario conservador, con crecimiento promedio anual de 4.4%, para todo el periodo del horizonte de planeamiento.</t>
    </r>
  </si>
  <si>
    <r>
      <t xml:space="preserve">b) </t>
    </r>
    <r>
      <rPr>
        <b/>
        <sz val="10"/>
        <rFont val="Arial"/>
        <family val="2"/>
      </rPr>
      <t>PIB MANUFACTURERO:</t>
    </r>
    <r>
      <rPr>
        <sz val="10"/>
        <rFont val="Arial"/>
        <family val="2"/>
      </rPr>
      <t xml:space="preserve"> Escenario conservador, con crecimiento promedio inferior al PIB total, manteniendo su participación estructural, en 4.7% del PIB Total. Promedio de los ultimos tres años.</t>
    </r>
  </si>
  <si>
    <t>World BanK (Banco Mundial)</t>
  </si>
  <si>
    <t xml:space="preserve">ESTIMADOS DE MONTOS Y VARIACIONES ANUALES DE LA ACTIVIDAD DE MANUFACTURA  EN EL PRODUCTO INTERNO BRUTO </t>
  </si>
  <si>
    <t xml:space="preserve">AÑOS </t>
  </si>
  <si>
    <t xml:space="preserve">ESCENARIO MODERADO </t>
  </si>
  <si>
    <t xml:space="preserve">ESCENARIO OPTIMISTA </t>
  </si>
  <si>
    <t xml:space="preserve">ESCENARIO PESIMISTA </t>
  </si>
  <si>
    <t xml:space="preserve">MONTOS </t>
  </si>
  <si>
    <t>VAR. ANUAL</t>
  </si>
  <si>
    <t>(En miles de Balboas)</t>
  </si>
  <si>
    <t>(En %)</t>
  </si>
  <si>
    <t xml:space="preserve">REAL </t>
  </si>
  <si>
    <t>ESTIMADO</t>
  </si>
  <si>
    <t xml:space="preserve">       PRONOSTICOS </t>
  </si>
  <si>
    <t xml:space="preserve">Crecimiento Anual </t>
  </si>
  <si>
    <t>Tipo</t>
  </si>
  <si>
    <t>Años</t>
  </si>
  <si>
    <t xml:space="preserve">Periodo </t>
  </si>
  <si>
    <t xml:space="preserve">Estudio </t>
  </si>
  <si>
    <t>Histórico</t>
  </si>
  <si>
    <t>Pronostico</t>
  </si>
  <si>
    <t xml:space="preserve">Corto Plazo </t>
  </si>
  <si>
    <t>Medio Plazo</t>
  </si>
  <si>
    <t xml:space="preserve">Largo Plazo </t>
  </si>
  <si>
    <t>NOTAS:</t>
  </si>
  <si>
    <t>Fuente:</t>
  </si>
  <si>
    <t xml:space="preserve">Desarrollo de ETESA basados en los escenarios elaborados por INTRACORP, por medio de un Modelo Matematico de Insumo- Producto, para mostrar los impactos directos,inducidos, paralelos </t>
  </si>
  <si>
    <r>
      <t xml:space="preserve">y del Conglomerado del canal en la economia nacional .  </t>
    </r>
    <r>
      <rPr>
        <b/>
        <i/>
        <sz val="10"/>
        <rFont val="Arial"/>
        <family val="2"/>
      </rPr>
      <t xml:space="preserve">"Estudio del Impacto Economico del Canal y el Proyecto de Ampliacion en el Ambito Nacional". </t>
    </r>
    <r>
      <rPr>
        <sz val="10"/>
        <rFont val="Arial"/>
        <family val="2"/>
      </rPr>
      <t>Revision, Abril de 2006</t>
    </r>
    <r>
      <rPr>
        <b/>
        <i/>
        <sz val="10"/>
        <rFont val="Arial"/>
        <family val="2"/>
      </rPr>
      <t>.</t>
    </r>
  </si>
  <si>
    <t xml:space="preserve">OPTIMISTA </t>
  </si>
  <si>
    <t xml:space="preserve">ESCENARIO PESISMISTA </t>
  </si>
  <si>
    <t>E4</t>
  </si>
  <si>
    <t>E5</t>
  </si>
  <si>
    <t>Nuevos Estimados de Expertos publicados: LA PRENSA y Capital Financiero</t>
  </si>
  <si>
    <t xml:space="preserve">ESTIMADOS DE MONTOS Y VARIACIONES ANUALES DEL  PRODUCTO INTERNO BRUTO </t>
  </si>
  <si>
    <t>A precios de 1996</t>
  </si>
  <si>
    <t>(2006-2009)</t>
  </si>
  <si>
    <r>
      <t xml:space="preserve">ESCENARIO MODERADO </t>
    </r>
    <r>
      <rPr>
        <b/>
        <sz val="8"/>
        <rFont val="Arial"/>
        <family val="2"/>
      </rPr>
      <t>(3)</t>
    </r>
  </si>
  <si>
    <r>
      <t xml:space="preserve">ESCENARIO OPTIMISTA </t>
    </r>
    <r>
      <rPr>
        <b/>
        <sz val="8"/>
        <rFont val="Arial"/>
        <family val="2"/>
      </rPr>
      <t>(4)</t>
    </r>
  </si>
  <si>
    <r>
      <t xml:space="preserve">ESCENARIO PESIMISTA </t>
    </r>
    <r>
      <rPr>
        <b/>
        <sz val="8"/>
        <rFont val="Arial"/>
        <family val="2"/>
      </rPr>
      <t>(5)</t>
    </r>
  </si>
  <si>
    <t xml:space="preserve">BLM </t>
  </si>
  <si>
    <t>Geehan</t>
  </si>
  <si>
    <t xml:space="preserve"> </t>
  </si>
  <si>
    <t>Miraflores 44</t>
  </si>
  <si>
    <t>Balboa 44</t>
  </si>
  <si>
    <t>Summit 44</t>
  </si>
  <si>
    <t>Gamboa 44</t>
  </si>
  <si>
    <t>Agua Clara  44</t>
  </si>
  <si>
    <t>TOTAL DIST.</t>
  </si>
  <si>
    <t>CEMENTO PANAMA</t>
  </si>
  <si>
    <t>PTP (Ch. Grande)</t>
  </si>
  <si>
    <t>CHANGUINOLA</t>
  </si>
  <si>
    <t>Pérdidas Trans. MW</t>
  </si>
  <si>
    <t>Pérdidas Trans. %</t>
  </si>
  <si>
    <t>TOTAL GENERACIÓN</t>
  </si>
  <si>
    <t>RESUMEN DE TASAS DE CRECIMIENTO DEL PIB, SEGÚN ESCENARIOS</t>
  </si>
  <si>
    <t xml:space="preserve">PRODUCTO INTERNO BRUTO </t>
  </si>
  <si>
    <t>EN DOLARES DE 1996</t>
  </si>
  <si>
    <t>EN DOLARES DE 1982</t>
  </si>
  <si>
    <t xml:space="preserve">CORRIENTES </t>
  </si>
  <si>
    <t xml:space="preserve">CONSTANTES </t>
  </si>
  <si>
    <t xml:space="preserve">INDEX </t>
  </si>
  <si>
    <t>OPTIMISTA</t>
  </si>
  <si>
    <t>PESISMISTA</t>
  </si>
  <si>
    <t xml:space="preserve">PESIMISTA </t>
  </si>
  <si>
    <t xml:space="preserve">HISTORICOS </t>
  </si>
  <si>
    <t>PRONOSTICOS</t>
  </si>
  <si>
    <t>BOFCO</t>
  </si>
  <si>
    <t>ESC. MODERADO (a)</t>
  </si>
  <si>
    <t>ESC. OPTIMISTA (b)</t>
  </si>
  <si>
    <t>ESC. PESIMISTA (c)</t>
  </si>
  <si>
    <t>DEMANDA DE LA PROVINCIA DE BOCAS DEL TORO (CARGA INTEGRADA AL SIN)  Años 2009 -2024</t>
  </si>
  <si>
    <t>Tasa Anual</t>
  </si>
  <si>
    <r>
      <rPr>
        <b/>
        <sz val="9"/>
        <rFont val="Arial"/>
        <family val="2"/>
      </rPr>
      <t>TASAS</t>
    </r>
    <r>
      <rPr>
        <b/>
        <sz val="10"/>
        <rFont val="Arial"/>
        <family val="2"/>
      </rPr>
      <t xml:space="preserve"> </t>
    </r>
    <r>
      <rPr>
        <b/>
        <sz val="8"/>
        <rFont val="Arial"/>
        <family val="2"/>
      </rPr>
      <t>(%)</t>
    </r>
  </si>
  <si>
    <t xml:space="preserve">SANEAMIENTO DE LA BAHIA </t>
  </si>
  <si>
    <t xml:space="preserve">METRO </t>
  </si>
  <si>
    <t>CUADRO No. 20</t>
  </si>
  <si>
    <t xml:space="preserve">(a)   Corresponde a la suma de la demanda previstas en el Escenario Moderado de la Provincia de Bocas del Toro </t>
  </si>
  <si>
    <t xml:space="preserve">(b)   Corresponde a la suma de la demanda previstas en el Escenario Optimista de la Provincia de Bocas del Toro </t>
  </si>
  <si>
    <t xml:space="preserve">(c)   Corresponde a la suma de la demanda previstas en el Escenario Pesismista de la Provincia de Bocas del Toro </t>
  </si>
  <si>
    <t>DEMANDA CONSOLIDADA DEL SEGMENTO BLOQUE (CARGA INTEGRADA AL SIN)</t>
  </si>
  <si>
    <t>2001-2005</t>
  </si>
  <si>
    <t>|</t>
  </si>
  <si>
    <t xml:space="preserve">PREMISAS PROYECCION ESCENARIO PESIMISTA </t>
  </si>
  <si>
    <t>MEF- Gobierno</t>
  </si>
  <si>
    <t>Banco Interamericano de Desarrrollo (BID)</t>
  </si>
  <si>
    <t>CEPAL</t>
  </si>
  <si>
    <t>INDESA(Marcos Fernadez G. Chapman)</t>
  </si>
  <si>
    <t>Panama Economic Insight</t>
  </si>
  <si>
    <t>Moody's</t>
  </si>
  <si>
    <t>Fitch Ratings</t>
  </si>
  <si>
    <t>JP Morgan's</t>
  </si>
  <si>
    <t>Standart &amp; Poor's</t>
  </si>
  <si>
    <t>Otros Expeertos (N. Ardito barletta)</t>
  </si>
  <si>
    <t>The Economist Magazine</t>
  </si>
  <si>
    <t>(En millones de dólares de 1996)</t>
  </si>
  <si>
    <t xml:space="preserve">GRAN DIVISION ECONOMICA </t>
  </si>
  <si>
    <t>Más: Derechos de importancion e ITBM</t>
  </si>
  <si>
    <r>
      <t xml:space="preserve">Producto Interno Bruto 2009 de 3.4% </t>
    </r>
    <r>
      <rPr>
        <b/>
        <sz val="8"/>
        <rFont val="Arial"/>
        <family val="2"/>
      </rPr>
      <t>(1)</t>
    </r>
  </si>
  <si>
    <t>PREELIMINAR</t>
  </si>
  <si>
    <t>PRELIMINAR</t>
  </si>
  <si>
    <t xml:space="preserve">Estimado </t>
  </si>
  <si>
    <t>CUADRO No. 14</t>
  </si>
  <si>
    <t>ESCENARIO BASE                       MODERADO</t>
  </si>
  <si>
    <t>ESCENARIO ALTO                        OPTIMISTA</t>
  </si>
  <si>
    <t xml:space="preserve">ESCENARIO BAJO                         PESIMISTA                </t>
  </si>
  <si>
    <t>DEMANDA MAXIMA DE GENERACION , POR PARTICIPANTE CONSUMIDOR Y POR BARRA. 2010-2024 (MW)</t>
  </si>
  <si>
    <t>ESCENARIO MEDIO</t>
  </si>
  <si>
    <t>GWHRES</t>
  </si>
  <si>
    <t>GWHCOM</t>
  </si>
  <si>
    <t>GWHIND</t>
  </si>
  <si>
    <t>GWHOFI</t>
  </si>
  <si>
    <t>GWHALU</t>
  </si>
  <si>
    <t>GWHAUT</t>
  </si>
  <si>
    <t>GWHBLQ</t>
  </si>
  <si>
    <t>GWHOTR</t>
  </si>
  <si>
    <t>GWHPER</t>
  </si>
  <si>
    <t>GWH</t>
  </si>
  <si>
    <t>D%GWH</t>
  </si>
  <si>
    <t>MW</t>
  </si>
  <si>
    <t>Residencial</t>
  </si>
  <si>
    <t>Comercial</t>
  </si>
  <si>
    <t>Industrial</t>
  </si>
  <si>
    <t>Oficial</t>
  </si>
  <si>
    <t>Alumbrao publico</t>
  </si>
  <si>
    <t>Autoconsumo</t>
  </si>
  <si>
    <t>Bloque</t>
  </si>
  <si>
    <t>Otros</t>
  </si>
  <si>
    <t xml:space="preserve">Perdidas </t>
  </si>
  <si>
    <t>Energia</t>
  </si>
  <si>
    <t>Carga</t>
  </si>
  <si>
    <t>CUADRO No. 22</t>
  </si>
  <si>
    <t>PARTICIPACION SECTORIAL EN EL PRONOSTICO DE ENERGIA  ELECTRICA DE PANAMA</t>
  </si>
  <si>
    <t>ESCENARIO ALTO</t>
  </si>
  <si>
    <t>CUADRO No. 23</t>
  </si>
  <si>
    <t>ESCENARIO BAJO</t>
  </si>
  <si>
    <t>CUADRO No. 24</t>
  </si>
  <si>
    <t xml:space="preserve">MODERADO </t>
  </si>
  <si>
    <t>EET- MOD</t>
  </si>
  <si>
    <t>EET- OPT</t>
  </si>
  <si>
    <t>EET- PES</t>
  </si>
  <si>
    <t>DMG- MOD</t>
  </si>
  <si>
    <t>DMG- OPT</t>
  </si>
  <si>
    <t>DMG- PES</t>
  </si>
  <si>
    <t>MWH</t>
  </si>
  <si>
    <t>Pronostico AES - BOFCO</t>
  </si>
  <si>
    <t xml:space="preserve">(a)   Corresponde a la suma de la demanda previstas por BOFCO y AES (Jul. 2010) en el Informe Indicativo de Demanda  2011-2031, del CND.   </t>
  </si>
  <si>
    <r>
      <rPr>
        <b/>
        <sz val="12"/>
        <rFont val="Arial"/>
        <family val="2"/>
      </rPr>
      <t xml:space="preserve">Ajuste  </t>
    </r>
    <r>
      <rPr>
        <b/>
        <sz val="10"/>
        <rFont val="Arial"/>
        <family val="2"/>
      </rPr>
      <t xml:space="preserve">                                    BOFCO -2. 5%   </t>
    </r>
  </si>
  <si>
    <t xml:space="preserve">      en la economía global  y sus consecuentes efectos en la economia del Paìs y especificamente en la region.</t>
  </si>
  <si>
    <t xml:space="preserve">(c)  Se considera una contracción de 2.5% en el consumo pronosticado por BOFCO, a partir del año 2015, consecuente con un probable retroceso </t>
  </si>
  <si>
    <t xml:space="preserve">(b)  Se considera un crecimiento adicional de 5% para el consumo previsto por BOFCO,  a partir del año 2015, a efecto de una expansión económica </t>
  </si>
  <si>
    <t xml:space="preserve">     de la región  Bocatoreña  en concordancia con in impulso adicional al desarrrollo del pais. </t>
  </si>
  <si>
    <t>&lt;--valores ideales a adopar por el modelo</t>
  </si>
  <si>
    <t xml:space="preserve">PROYECCION DE POBLACION TOTAL POR AÑO CALENDARIO, </t>
  </si>
  <si>
    <t xml:space="preserve">HIPOTESIS CONSTANTE </t>
  </si>
  <si>
    <t>HIPOTESIS ALTA</t>
  </si>
  <si>
    <t>HIPOTESIS MEDIA RECOMENDADA</t>
  </si>
  <si>
    <t xml:space="preserve">HIPOTESIS BAJA </t>
  </si>
  <si>
    <t>Nota.</t>
  </si>
  <si>
    <t>Extracto del proyeccion de Poblacion Total, Cuadro No. 19</t>
  </si>
  <si>
    <t xml:space="preserve">ESTIMACIONES Y PROYECCIONES DE LA POBLACION TOTAL, </t>
  </si>
  <si>
    <t>DEL PAIS, POR SEXO Y EDAD, AÑOS 1950 - 2050</t>
  </si>
  <si>
    <t>INEC, BOLETIN No. 7</t>
  </si>
  <si>
    <t xml:space="preserve">VARIACION DE CRECIMIENTO DE LA POBLACION TOTAL POR AÑO CALENDARIO, </t>
  </si>
  <si>
    <t xml:space="preserve">SEGÚN CUATRO HIPOTESIS DE CRECIMIENTO </t>
  </si>
  <si>
    <t>TASA(2010-2014)</t>
  </si>
  <si>
    <t>TASA(2021-2025)</t>
  </si>
  <si>
    <t>EN CONSIDERACION AL PIB ESTIMADO DE 2010</t>
  </si>
  <si>
    <t>(2011-2025)</t>
  </si>
  <si>
    <t>(2011-2014)</t>
  </si>
  <si>
    <t>(2015-2020)</t>
  </si>
  <si>
    <t>(2021-2025)</t>
  </si>
  <si>
    <t>EMPALME DE BASES 1996    =&gt;  1982</t>
  </si>
  <si>
    <t xml:space="preserve"> (2006-2025)</t>
  </si>
  <si>
    <t>(2006-2010)</t>
  </si>
  <si>
    <t>2015-2025</t>
  </si>
  <si>
    <r>
      <rPr>
        <b/>
        <sz val="14"/>
        <rFont val="Symbol"/>
        <family val="1"/>
        <charset val="2"/>
      </rPr>
      <t>S</t>
    </r>
    <r>
      <rPr>
        <sz val="10"/>
        <rFont val="Symbol"/>
        <family val="1"/>
        <charset val="2"/>
      </rPr>
      <t xml:space="preserve">  </t>
    </r>
    <r>
      <rPr>
        <b/>
        <sz val="10"/>
        <rFont val="Arial"/>
        <family val="2"/>
      </rPr>
      <t xml:space="preserve">BOFCO </t>
    </r>
    <r>
      <rPr>
        <sz val="10"/>
        <rFont val="Arial"/>
        <family val="2"/>
      </rPr>
      <t xml:space="preserve"> </t>
    </r>
  </si>
  <si>
    <t xml:space="preserve">Crecimiento del consumo </t>
  </si>
  <si>
    <t xml:space="preserve">AÑO </t>
  </si>
  <si>
    <t xml:space="preserve">VARACIONE DE PRECIOS REALES DEL PRETOT </t>
  </si>
  <si>
    <t>Var. Reales de PRETOT/Precios USA</t>
  </si>
  <si>
    <t>Reference case</t>
  </si>
  <si>
    <t>High macroeconomic growth</t>
  </si>
  <si>
    <t>Low macroeconomic growth</t>
  </si>
  <si>
    <t>ESTIMACIONES 2010</t>
  </si>
  <si>
    <t>TASAS DE CRECIMIENTO</t>
  </si>
  <si>
    <t xml:space="preserve">CAMBIO PROMEDIO </t>
  </si>
  <si>
    <t xml:space="preserve">    Subtotal Sector Secundario y de Infraestructura</t>
  </si>
  <si>
    <t xml:space="preserve">Latin Consulting </t>
  </si>
  <si>
    <t>BBVA</t>
  </si>
  <si>
    <t>CAPAC</t>
  </si>
  <si>
    <t xml:space="preserve">PRONOSTICOS DE DEMANDA </t>
  </si>
  <si>
    <t>ESCENARIOS</t>
  </si>
  <si>
    <t xml:space="preserve">PESISMISTA </t>
  </si>
  <si>
    <t xml:space="preserve">     Demanda MAXIMA DE GENERACION por  Participante,  Consumidor y Por Barra  2011-2025 (MW)</t>
  </si>
  <si>
    <t>ENSA</t>
  </si>
  <si>
    <t xml:space="preserve">PRECIOS EE - HISTORICOS </t>
  </si>
  <si>
    <t>PROYECCION REAL DEL PRETOT</t>
  </si>
  <si>
    <t xml:space="preserve">RESUMEN DE PRONOSTICOS  DE DEMANDA </t>
  </si>
  <si>
    <t xml:space="preserve">PARTICIPACION POR SECTOR - ESCENARIO MEDIO </t>
  </si>
  <si>
    <t xml:space="preserve">PARTICIPACION POR SECTOR - ESCENARIO ALTO </t>
  </si>
  <si>
    <t>PARTICIPACION POR SECTOR - ESCENARIO BAJO</t>
  </si>
  <si>
    <t>ANEXO I- 3</t>
  </si>
  <si>
    <t>mas los consumos previstos para los megaproyectos de infraestructura de la Ciudad de Panama hasta el año 2025</t>
  </si>
  <si>
    <t>CUADRO No. 21</t>
  </si>
  <si>
    <t>CUADRO No. 15</t>
  </si>
  <si>
    <t>CUADRO  No. 19</t>
  </si>
  <si>
    <t>PROYECCION REAL DE PRECIOS DE LA ELECTRICIDAD (PRETOT)</t>
  </si>
  <si>
    <t xml:space="preserve">RESUMEN DE PRONOSTICOS DE DEMANDA </t>
  </si>
  <si>
    <t>CUADRO No. 25</t>
  </si>
  <si>
    <t>CUADRO No. 26</t>
  </si>
  <si>
    <t xml:space="preserve">DEMANDA CONSOLIDADA DEL SEGMENTO BLOQUE </t>
  </si>
  <si>
    <t>(CARGA INTEGRADA AL SIN)</t>
  </si>
  <si>
    <t>PRONOSTICOS AES-BOFCO</t>
  </si>
  <si>
    <t>ALTO</t>
  </si>
  <si>
    <t>BAJO</t>
  </si>
  <si>
    <t>AJUSTE</t>
  </si>
  <si>
    <t>REAL</t>
  </si>
  <si>
    <t xml:space="preserve">PROMEDIO </t>
  </si>
  <si>
    <t>(1970-1998)</t>
  </si>
  <si>
    <t>(1970-2010)</t>
  </si>
  <si>
    <t>(1999-2010)</t>
  </si>
  <si>
    <t xml:space="preserve">VARIACION ANUAL </t>
  </si>
  <si>
    <t>(1999-2009)</t>
  </si>
  <si>
    <t>(1999-2008)</t>
  </si>
  <si>
    <t>(2000-2008)</t>
  </si>
  <si>
    <t>(2000-2005)</t>
  </si>
  <si>
    <t xml:space="preserve">Ventas de Energia Sectores Basicos </t>
  </si>
  <si>
    <t xml:space="preserve">ENERGIA  COMPRADA </t>
  </si>
  <si>
    <t>PERDIDAS DISTRIBUCION DECLARADAS</t>
  </si>
  <si>
    <t xml:space="preserve">DIIFERENCIA </t>
  </si>
  <si>
    <t xml:space="preserve">OTROS CONSUMOS </t>
  </si>
  <si>
    <t>PORECENTAJE DE PÉRDIDAS RESPECTO A VENTAS SECTORES BASICOS(Relación requerida por el modelo)</t>
  </si>
  <si>
    <t>2006-2010</t>
  </si>
  <si>
    <t>&lt;6.5%</t>
  </si>
  <si>
    <t>&lt;6.0%</t>
  </si>
  <si>
    <t xml:space="preserve">Transmisión aumenta al 2015 % hasta no superar el </t>
  </si>
  <si>
    <t xml:space="preserve">                           Al 2026  alcanza una tasa de </t>
  </si>
  <si>
    <t>2026-2025</t>
  </si>
  <si>
    <t>PERIODO 2010  25</t>
  </si>
  <si>
    <t>TASAS DE CRECIMIENTO DE POBLACION 1970-2025</t>
  </si>
  <si>
    <t>ESCENARIO BASE</t>
  </si>
  <si>
    <t>2001-2011</t>
  </si>
  <si>
    <t>2011-2012</t>
  </si>
  <si>
    <t>PROMEDIO DE CAMBIO DE últimos 3 años   2008-10</t>
  </si>
  <si>
    <t>PROMEDIO DE CAMBIO DE últimos 2 años 2009-10</t>
  </si>
  <si>
    <t>AJUSTADO estructuras base E2 y Promedios de Pronosticos Publicados al 30/Sept/2011</t>
  </si>
  <si>
    <t>CITI BANK</t>
  </si>
  <si>
    <t>Adolfo Quintero</t>
  </si>
  <si>
    <t>INTRACORP</t>
  </si>
  <si>
    <t>MAXIMO</t>
  </si>
  <si>
    <t>MINIMO</t>
  </si>
  <si>
    <t>SEGÚN ACTIVIDAD ECONOMICA Y DIVISION ECONOMICA  POR  TRIMESTRE</t>
  </si>
  <si>
    <t xml:space="preserve">POR PARTICIPACION ESTRUCTURAL Y EFECTO CICLICO TRIMESTRAL </t>
  </si>
  <si>
    <t xml:space="preserve">TASA  DE VARIACION </t>
  </si>
  <si>
    <t>AÑO  2012</t>
  </si>
  <si>
    <r>
      <t xml:space="preserve">ESCENARIO OPTIMISTA </t>
    </r>
    <r>
      <rPr>
        <sz val="8"/>
        <rFont val="Arial"/>
        <family val="2"/>
      </rPr>
      <t>(1)</t>
    </r>
  </si>
  <si>
    <r>
      <t xml:space="preserve">ESCENARIO MODERADO </t>
    </r>
    <r>
      <rPr>
        <sz val="8"/>
        <rFont val="Arial"/>
        <family val="2"/>
      </rPr>
      <t>(2)</t>
    </r>
  </si>
  <si>
    <t>ESTRUCTURA ESTIMADA  AÑO 2011 (%)</t>
  </si>
  <si>
    <t>VARIACION ANUAL DEL PIB                AJUSTADA (Promedio)</t>
  </si>
  <si>
    <t>VARIACION ANUAL DEL PIB                AJUSTADA</t>
  </si>
  <si>
    <t>(1)</t>
  </si>
  <si>
    <t>(2)</t>
  </si>
  <si>
    <t>(3)</t>
  </si>
  <si>
    <t>Desarrrollo propio con base en data de la Dirección de Estadisticas y Censo, Panamá en Cifras 2002-06</t>
  </si>
  <si>
    <t>PROPORCION ESTRUCTURAL DEL 2008</t>
  </si>
  <si>
    <t>EN CONSIDERACION AL PIB ESTIMADO DE 2011</t>
  </si>
  <si>
    <t>ESC.   MOD.</t>
  </si>
  <si>
    <t>ESC.   OPTIM.</t>
  </si>
  <si>
    <t>ESC.   PES.</t>
  </si>
  <si>
    <t xml:space="preserve">Estudio  </t>
  </si>
  <si>
    <t xml:space="preserve"> (2006-2026)</t>
  </si>
  <si>
    <t>(2012-2026)</t>
  </si>
  <si>
    <t>(2012-2015)</t>
  </si>
  <si>
    <t>(2016-2022)</t>
  </si>
  <si>
    <t>Periodo M y LP</t>
  </si>
  <si>
    <t>(2015-2026)</t>
  </si>
  <si>
    <t xml:space="preserve">(2) Escenarios ajustados a partir de un Producto Interno Bruto estimado de año 2011de 10.89%, derivado del comportamiento real del PIB durante los dos primeros trimestres del año,  con respecto al promedio estructural </t>
  </si>
  <si>
    <t xml:space="preserve">      'del mismo durante ewl periodo historico 2006-2010 .  Boletin de la Dirección de Estadisticas y Censo,</t>
  </si>
  <si>
    <t>(3) Las tasas de crecimiento de los escenarios moderado, optimista y pesimista para el 2012 con respecto al año precedente fueron estimadas en 7.84, 11.05 y 4.34 por ciento.   Tasa derivadas de la simulacion</t>
  </si>
  <si>
    <t xml:space="preserve"> del PIB, desarrollado para el año 2012. La Hoja EXCEL es PIB Estructural Estimado 2012. </t>
  </si>
  <si>
    <t xml:space="preserve">(4) Las tasas de crecimiento previstas para el periodo inmediato de corto plazo 2013-2015, estan basada en los pronosticos publicados por entidades internacionales como FMI, Cepal de acuerdo </t>
  </si>
  <si>
    <t xml:space="preserve"> al comportamiento excepcional de los ultimos años </t>
  </si>
  <si>
    <t>(5) Para el periodo de mediano y largo plazo, las tasas de crecimiento estan basada en en los pronosticos de escenarios de INTRACORP derivados de la Ampliacion del Canal de Panamá</t>
  </si>
  <si>
    <r>
      <t xml:space="preserve">(6) Escenario Moderado esta basado en el escenario </t>
    </r>
    <r>
      <rPr>
        <b/>
        <i/>
        <sz val="6"/>
        <rFont val="Arial"/>
        <family val="2"/>
      </rPr>
      <t>"mas probable"</t>
    </r>
    <r>
      <rPr>
        <sz val="6"/>
        <rFont val="Arial"/>
        <family val="2"/>
      </rPr>
      <t xml:space="preserve"> definido por INTRACORP, Voumen  III, xxiv .Con Expansion del Canal, incremento de 3.5% de peajes,e inversion de 5.5 miles de millones de $ USA.</t>
    </r>
  </si>
  <si>
    <r>
      <t xml:space="preserve">(7) Escenario Optimista esta basado en el </t>
    </r>
    <r>
      <rPr>
        <b/>
        <i/>
        <sz val="6"/>
        <rFont val="Arial"/>
        <family val="2"/>
      </rPr>
      <t>"mejor escenario"</t>
    </r>
    <r>
      <rPr>
        <sz val="6"/>
        <rFont val="Arial"/>
        <family val="2"/>
      </rPr>
      <t>, definido por INTRACORP, Voumen  III, xxiv .Con Expansion del Canal , incremento de 3.5% de peajes,e inversion de 4.7 miles de millones de $ USA.</t>
    </r>
  </si>
  <si>
    <r>
      <t xml:space="preserve">(8) Escenario Pesimista esta basado en el </t>
    </r>
    <r>
      <rPr>
        <b/>
        <i/>
        <sz val="6"/>
        <rFont val="Arial"/>
        <family val="2"/>
      </rPr>
      <t>"peor escenario"</t>
    </r>
    <r>
      <rPr>
        <sz val="6"/>
        <rFont val="Arial"/>
        <family val="2"/>
      </rPr>
      <t>, definido por INTRACORP, Voumen  III, xxiv .Con Expansion del Canal , incremento de 3.5% de peajes,e inversion de 4.7 miles de millones de $ USA.</t>
    </r>
  </si>
  <si>
    <t>PROYECCION 2011-2026</t>
  </si>
  <si>
    <t xml:space="preserve">TASA DE CRECIMIENTO </t>
  </si>
  <si>
    <t>EMPALME BASES 1982- 1996</t>
  </si>
  <si>
    <t>Para el empalme, se toma el primer valor de la serie con base 1993 y se lo divide por la tasa de crecimiento que corresponde al período anterior al inicial. De esta forma se obtiene el valor final de la serie anterior con base 1986, ahora empalmada a la base 1993.</t>
  </si>
  <si>
    <t>El procedimiento puede verse con un ejemplo aplicado al PBI en la ecuación siguiente:</t>
  </si>
  <si>
    <t xml:space="preserve">DURANTE EL PERIODO DE EVALUACION DEL PLAN  2011-2025 </t>
  </si>
  <si>
    <t xml:space="preserve">EMPALMADO  Precios de 1996 a 1982 </t>
  </si>
  <si>
    <r>
      <t xml:space="preserve">Producto Interno Bruto 2011 de 10.91% </t>
    </r>
    <r>
      <rPr>
        <b/>
        <sz val="8"/>
        <rFont val="Arial"/>
        <family val="2"/>
      </rPr>
      <t>(2)</t>
    </r>
  </si>
  <si>
    <t>1982=100</t>
  </si>
  <si>
    <t>ESTIMADOS</t>
  </si>
  <si>
    <t>(2005-2010)</t>
  </si>
  <si>
    <t>(2010-2023)</t>
  </si>
  <si>
    <t>(2019-2023)</t>
  </si>
  <si>
    <r>
      <t>(1)</t>
    </r>
    <r>
      <rPr>
        <sz val="10"/>
        <rFont val="Arial"/>
        <family val="2"/>
      </rPr>
      <t xml:space="preserve"> Escenarios a partir de un Producto Interno bruto al 2010 de 7.6%, estimado previstoinicial del MEF para este año. </t>
    </r>
  </si>
  <si>
    <r>
      <t>(2)</t>
    </r>
    <r>
      <rPr>
        <sz val="10"/>
        <rFont val="Arial"/>
        <family val="2"/>
      </rPr>
      <t xml:space="preserve"> Escenarios a partir de un Producto Interno bruto al 2011 de 10.91%, derivado del comportamiento real del PIB durante los dos primeros trimestres del año,   Boletin de la Dirección de ESTAdisticas y Censo,</t>
    </r>
  </si>
  <si>
    <t xml:space="preserve">   ' Evolucion Trimestral del PIB ( II Trimestre del 2008). Con un incremento de 10.33% del I semestre del año con respecto al año anterior.  Ademas, el Indice Mensual de la actividad Económica (IMAE) </t>
  </si>
  <si>
    <t xml:space="preserve">      de enero-agosto del 2008 muestra un incremento sobre el 9 por ciento, con respecto al mismo periodo del año anterior.</t>
  </si>
  <si>
    <r>
      <t>(3)</t>
    </r>
    <r>
      <rPr>
        <sz val="10"/>
        <rFont val="Arial"/>
        <family val="2"/>
      </rPr>
      <t xml:space="preserve"> Escenario Moderado esta basado en el escenario </t>
    </r>
    <r>
      <rPr>
        <b/>
        <i/>
        <sz val="10"/>
        <rFont val="Arial"/>
        <family val="2"/>
      </rPr>
      <t>"mas probable"</t>
    </r>
    <r>
      <rPr>
        <sz val="10"/>
        <rFont val="Arial"/>
        <family val="2"/>
      </rPr>
      <t xml:space="preserve"> definido por INTRACORP, Voumen  III, xxiv .Con Expansion del Canal, incremento de 3.5% de peajes,e inversion de 5.5 miles de millones de $ USA.</t>
    </r>
  </si>
  <si>
    <r>
      <t>(4)</t>
    </r>
    <r>
      <rPr>
        <sz val="10"/>
        <rFont val="Arial"/>
        <family val="2"/>
      </rPr>
      <t xml:space="preserve"> Escenario Optimista esta basado en el </t>
    </r>
    <r>
      <rPr>
        <b/>
        <i/>
        <sz val="10"/>
        <rFont val="Arial"/>
        <family val="2"/>
      </rPr>
      <t>"mejor escenario"</t>
    </r>
    <r>
      <rPr>
        <sz val="10"/>
        <rFont val="Arial"/>
        <family val="2"/>
      </rPr>
      <t>, definido por INTRACORP, Voumen  III, xxiv .Con Expansion del Canal , incremento de 3.5% de peajes,e inversion de 4.7 miles de millones de $ USA.</t>
    </r>
  </si>
  <si>
    <r>
      <t>(5)</t>
    </r>
    <r>
      <rPr>
        <sz val="10"/>
        <rFont val="Arial"/>
        <family val="2"/>
      </rPr>
      <t xml:space="preserve"> Escenario Pesimista esta basado en el </t>
    </r>
    <r>
      <rPr>
        <b/>
        <i/>
        <sz val="10"/>
        <rFont val="Arial"/>
        <family val="2"/>
      </rPr>
      <t>"peor escenario"</t>
    </r>
    <r>
      <rPr>
        <sz val="10"/>
        <rFont val="Arial"/>
        <family val="2"/>
      </rPr>
      <t>, definido por INTRACORP, Voumen  III, xxiv .Con Expansion del Canal , incremento de 3.5% de peajes,e inversion de 4.7 miles de millones de $ USA.</t>
    </r>
  </si>
  <si>
    <r>
      <t>(6)</t>
    </r>
    <r>
      <rPr>
        <sz val="10"/>
        <rFont val="Arial"/>
        <family val="2"/>
      </rPr>
      <t xml:space="preserve"> Las tasas de crecimiento de los escenarios moderado, optimista y pesimista para el 2012 con respecto al año precedente fueron estimadas en 7.85, 11.39 y 4.31 por ciento.   Tasa derivadas de la simulacion</t>
    </r>
  </si>
  <si>
    <r>
      <t xml:space="preserve">Producto Interno Bruto 2011 de 10.3% </t>
    </r>
    <r>
      <rPr>
        <b/>
        <sz val="8"/>
        <rFont val="Arial"/>
        <family val="2"/>
      </rPr>
      <t>(2)</t>
    </r>
  </si>
  <si>
    <t>ESTIMADOS DEL PIB MANUFACTURA  EN MILLONES DE BALBOAS DE 1982</t>
  </si>
  <si>
    <t xml:space="preserve">PRNOSTICO LINEAL </t>
  </si>
  <si>
    <t>VALOR</t>
  </si>
  <si>
    <t>2012-2014</t>
  </si>
  <si>
    <t>2015-2016</t>
  </si>
  <si>
    <t>PERIODO</t>
  </si>
  <si>
    <t xml:space="preserve">OPTIMO </t>
  </si>
  <si>
    <t xml:space="preserve">INDICE DE PRECIOS AL CONSUMIDOR </t>
  </si>
  <si>
    <t>1998-2006</t>
  </si>
  <si>
    <t>2000-2006</t>
  </si>
  <si>
    <t>2002-2006</t>
  </si>
  <si>
    <t xml:space="preserve">VARIACION </t>
  </si>
  <si>
    <t>ANUAL</t>
  </si>
  <si>
    <t>203-2006</t>
  </si>
  <si>
    <t>1970-1998</t>
  </si>
  <si>
    <t xml:space="preserve">INDICE </t>
  </si>
  <si>
    <t>CLASE</t>
  </si>
  <si>
    <t>Oct 2002=100</t>
  </si>
  <si>
    <r>
      <t xml:space="preserve">IPC  ELECTRICIDAD RESIDENCIAL </t>
    </r>
    <r>
      <rPr>
        <b/>
        <sz val="8"/>
        <color rgb="FFFF0000"/>
        <rFont val="Arial"/>
        <family val="2"/>
      </rPr>
      <t>(Base</t>
    </r>
    <r>
      <rPr>
        <b/>
        <vertAlign val="subscript"/>
        <sz val="8"/>
        <color rgb="FFFF0000"/>
        <rFont val="Arial"/>
        <family val="2"/>
      </rPr>
      <t>2000</t>
    </r>
    <r>
      <rPr>
        <b/>
        <sz val="8"/>
        <color rgb="FFFF0000"/>
        <rFont val="Arial"/>
        <family val="2"/>
      </rPr>
      <t>)</t>
    </r>
  </si>
  <si>
    <t>VARIACION  (%)</t>
  </si>
  <si>
    <r>
      <t>PRETOT   c/kWh</t>
    </r>
    <r>
      <rPr>
        <vertAlign val="subscript"/>
        <sz val="10"/>
        <color rgb="FFFF0000"/>
        <rFont val="Arial"/>
        <family val="2"/>
      </rPr>
      <t>1982</t>
    </r>
  </si>
  <si>
    <t>AÑOS 2012 -2026</t>
  </si>
  <si>
    <t xml:space="preserve">Estimaciones  y Proyeciones </t>
  </si>
  <si>
    <t>Modelo</t>
  </si>
  <si>
    <r>
      <t xml:space="preserve">Censo 2000 </t>
    </r>
    <r>
      <rPr>
        <sz val="8"/>
        <color theme="1"/>
        <rFont val="Calibri"/>
        <family val="2"/>
        <scheme val="minor"/>
      </rPr>
      <t>(Boletin No. 7)</t>
    </r>
  </si>
  <si>
    <r>
      <t xml:space="preserve">Censo 2010 </t>
    </r>
    <r>
      <rPr>
        <sz val="8"/>
        <color theme="1"/>
        <rFont val="Calibri"/>
        <family val="2"/>
        <scheme val="minor"/>
      </rPr>
      <t>( Preeliminares )</t>
    </r>
  </si>
  <si>
    <t>HISTORICO</t>
  </si>
  <si>
    <t xml:space="preserve">Censo 2000 </t>
  </si>
  <si>
    <t xml:space="preserve">Censo 2010 </t>
  </si>
  <si>
    <t xml:space="preserve">PROYECCIONES DE POBLACION TOTAL CENSO 2010 </t>
  </si>
  <si>
    <t>CUADRO No. 10</t>
  </si>
  <si>
    <t>CUADRO  No. 12</t>
  </si>
  <si>
    <t>CUADRO  No. 13</t>
  </si>
  <si>
    <t>CUADRO N°. 16</t>
  </si>
  <si>
    <t>CUADRO N°. 17</t>
  </si>
  <si>
    <t>Precio ponderado real de energía eléctrica</t>
  </si>
  <si>
    <t>PRETOT</t>
  </si>
  <si>
    <t xml:space="preserve">DIFERENCIAL DE VARIACION ANUAL </t>
  </si>
  <si>
    <t xml:space="preserve">Consumer Price Index (Urban) Year </t>
  </si>
  <si>
    <t>Including Subsidios</t>
  </si>
  <si>
    <t>Including Taxes</t>
  </si>
  <si>
    <t>Balboas/MWh constantes de 1982</t>
  </si>
  <si>
    <t xml:space="preserve">Variacion anual de de precios </t>
  </si>
  <si>
    <t>(Cents per Kilowatthour, (año 2005)</t>
  </si>
  <si>
    <t>(Cents per Kilowatthour, (año 1982)</t>
  </si>
  <si>
    <t xml:space="preserve">CAMBIO ANUAL </t>
  </si>
  <si>
    <t xml:space="preserve">TASA PROMEDIO </t>
  </si>
  <si>
    <t>(Index 1982-1984 = 100)</t>
  </si>
  <si>
    <t xml:space="preserve">TASA CRECIMIENTO </t>
  </si>
  <si>
    <t>PLAN DE EXPANSIÓN 2012-2026</t>
  </si>
  <si>
    <t>AEREOPUERTO TOCUMEN  *</t>
  </si>
  <si>
    <t>*</t>
  </si>
  <si>
    <t>Plan maestro de Desarrollo Aeroportuario 2006 2030.</t>
  </si>
  <si>
    <t>CUADRO No. 21 - A</t>
  </si>
  <si>
    <t>En  GWh</t>
  </si>
  <si>
    <t>TOTAL MEGAPROYECTOS</t>
  </si>
  <si>
    <t xml:space="preserve">Corresponde al incremento de consumo  por la expansion de las operaciones aeroportuarias , originado </t>
  </si>
  <si>
    <t xml:space="preserve"> en el inicio de entrada del nuevo Muelle  Norte a mediados del 2012,  y la futura expansion total con la construccion</t>
  </si>
  <si>
    <t>en el año 2015, del Muelle Sur. Expansion que debe cubrir hasta el año 2030.</t>
  </si>
  <si>
    <t xml:space="preserve">DEMANDA CONSOLIDADA DE MEGAPROYECTOS ESTATALES IDENTIFICADOS  </t>
  </si>
  <si>
    <t xml:space="preserve">TRANSPORTE METRO </t>
  </si>
  <si>
    <r>
      <rPr>
        <b/>
        <sz val="12"/>
        <rFont val="Arial"/>
        <family val="2"/>
      </rPr>
      <t xml:space="preserve">Ajuste    </t>
    </r>
    <r>
      <rPr>
        <b/>
        <sz val="10"/>
        <rFont val="Arial"/>
        <family val="2"/>
      </rPr>
      <t xml:space="preserve">                                  </t>
    </r>
    <r>
      <rPr>
        <b/>
        <sz val="9"/>
        <rFont val="Arial"/>
        <family val="2"/>
      </rPr>
      <t xml:space="preserve">BOFCO + 10%   </t>
    </r>
  </si>
  <si>
    <t>2011</t>
  </si>
  <si>
    <t>&lt;7.5%</t>
  </si>
  <si>
    <t xml:space="preserve">Transmisión aumenta al 2016  hasta no superar el </t>
  </si>
  <si>
    <t>Tasas</t>
  </si>
  <si>
    <t>2027-2026</t>
  </si>
  <si>
    <t>Variacion Anual Promedio Periodo</t>
  </si>
  <si>
    <t xml:space="preserve">No Tecnicas de Distribución disminuyen en una tasa de </t>
  </si>
  <si>
    <t xml:space="preserve">Técnicas de Distribución permanecen aproximadamente en   </t>
  </si>
  <si>
    <t xml:space="preserve">No Tecnicas de Distribución disminuyen en una tasa anual de </t>
  </si>
  <si>
    <t xml:space="preserve">Precio Corriente </t>
  </si>
  <si>
    <t>1970-2012</t>
  </si>
  <si>
    <t>1999-2012</t>
  </si>
  <si>
    <t>2007-2012</t>
  </si>
  <si>
    <t>1999-2006</t>
  </si>
  <si>
    <t>Cuadro 351- -03</t>
  </si>
  <si>
    <t>IPC Disto Pma y S Migto s Division, Agrupacion , Grupo Y sGrupo</t>
  </si>
  <si>
    <t xml:space="preserve">de Bienes y Servicios </t>
  </si>
  <si>
    <t>* preeliminar a Noviembre de 2012</t>
  </si>
  <si>
    <t>(Cents per Kilowatthour, (Nominal Prices)</t>
  </si>
  <si>
    <t xml:space="preserve">Implicit Price Deflactor Year </t>
  </si>
  <si>
    <t xml:space="preserve"> 2005 = 100)</t>
  </si>
  <si>
    <r>
      <t>PRETOT   c/kWh</t>
    </r>
    <r>
      <rPr>
        <b/>
        <vertAlign val="subscript"/>
        <sz val="9"/>
        <color rgb="FFFF0000"/>
        <rFont val="Arial"/>
        <family val="2"/>
      </rPr>
      <t>2011</t>
    </r>
  </si>
  <si>
    <r>
      <t xml:space="preserve">PRETOT HISTORICO           </t>
    </r>
    <r>
      <rPr>
        <b/>
        <sz val="8"/>
        <color rgb="FFFF0000"/>
        <rFont val="Arial"/>
        <family val="2"/>
      </rPr>
      <t>En Balboas 1982</t>
    </r>
  </si>
  <si>
    <t>TOTAL AVERAGE ELECTRICITY USA</t>
  </si>
  <si>
    <t xml:space="preserve">PROYECCIONES REAL USA </t>
  </si>
  <si>
    <t>PROYECCIONES DE PRECIOS PRETOT</t>
  </si>
  <si>
    <t>VARIACIONES DE PRECIOS  PRETOT</t>
  </si>
  <si>
    <t>c/r Variaciones reales de Precios USA</t>
  </si>
  <si>
    <t>AVERAGE USA  REAL</t>
  </si>
  <si>
    <t>Average annual oil prices 1980-2035 (2010 dollars per barrel)</t>
  </si>
  <si>
    <r>
      <t xml:space="preserve">PRETOT HISTORICO                         </t>
    </r>
    <r>
      <rPr>
        <b/>
        <sz val="6"/>
        <color rgb="FFFF0000"/>
        <rFont val="Arial"/>
        <family val="2"/>
      </rPr>
      <t>En Balboas 1982</t>
    </r>
  </si>
  <si>
    <r>
      <t xml:space="preserve">Historic Average Retail Prices of Electricity  </t>
    </r>
    <r>
      <rPr>
        <b/>
        <sz val="8"/>
        <color rgb="FFFF0000"/>
        <rFont val="Arial"/>
        <family val="2"/>
      </rPr>
      <t>Cent 1982/ kWh</t>
    </r>
  </si>
  <si>
    <r>
      <t xml:space="preserve">Historic Average Annual Oil Prices             </t>
    </r>
    <r>
      <rPr>
        <b/>
        <sz val="6"/>
        <color rgb="FFFF0000"/>
        <rFont val="Arial"/>
        <family val="2"/>
      </rPr>
      <t>(1982 dollars per barrel)</t>
    </r>
  </si>
  <si>
    <t xml:space="preserve">PROYECCIONES DE PRECIOS AOP </t>
  </si>
  <si>
    <t xml:space="preserve">Average Oil Prices </t>
  </si>
  <si>
    <t xml:space="preserve">Reference </t>
  </si>
  <si>
    <t>High Growth</t>
  </si>
  <si>
    <t>Low  Growth</t>
  </si>
  <si>
    <t>c/r Variaciones reales de Precios de Oil en USA</t>
  </si>
  <si>
    <t xml:space="preserve"> GWHDIS  Energia Disponible del Sistema </t>
  </si>
  <si>
    <r>
      <t>ENERGIA TOTAL</t>
    </r>
    <r>
      <rPr>
        <vertAlign val="superscript"/>
        <sz val="10"/>
        <rFont val="Arial"/>
        <family val="2"/>
      </rPr>
      <t>1</t>
    </r>
    <r>
      <rPr>
        <sz val="10"/>
        <rFont val="Arial"/>
        <family val="2"/>
      </rPr>
      <t xml:space="preserve">  (GWH)</t>
    </r>
  </si>
  <si>
    <r>
      <t>DEMANDA</t>
    </r>
    <r>
      <rPr>
        <vertAlign val="superscript"/>
        <sz val="10"/>
        <rFont val="Arial"/>
        <family val="2"/>
      </rPr>
      <t>2</t>
    </r>
    <r>
      <rPr>
        <sz val="10"/>
        <rFont val="Arial"/>
        <family val="2"/>
      </rPr>
      <t xml:space="preserve"> (MW)</t>
    </r>
  </si>
  <si>
    <t xml:space="preserve"> MWDEM  Demanda Máxima de Potencia Eléctrica</t>
  </si>
  <si>
    <t>AÑOS 2013 - 2027</t>
  </si>
  <si>
    <t xml:space="preserve">  Años 2013 -2027</t>
  </si>
  <si>
    <t>2011-2015</t>
  </si>
  <si>
    <t>2016-2020</t>
  </si>
  <si>
    <t>2021-2025</t>
  </si>
  <si>
    <t>2026-2030</t>
  </si>
  <si>
    <t>2031-2035</t>
  </si>
  <si>
    <t>REFERENCE PRICE</t>
  </si>
  <si>
    <t>HIGH         PRICE</t>
  </si>
  <si>
    <t>LOW          PRICE</t>
  </si>
  <si>
    <t xml:space="preserve">  Años 2012 -2027</t>
  </si>
  <si>
    <t>TASA(2016-2020)</t>
  </si>
  <si>
    <t>TASA(2026-2030)</t>
  </si>
  <si>
    <t>PERIODO  2010-2030</t>
  </si>
  <si>
    <t>TASA HISTORICA</t>
  </si>
  <si>
    <t>1990-1999</t>
  </si>
  <si>
    <t>2006-2012</t>
  </si>
  <si>
    <t>1999-2005</t>
  </si>
  <si>
    <t>INFLACIÓN, 1970-2012</t>
  </si>
  <si>
    <t>BASE HISTÓRICA  REAL</t>
  </si>
  <si>
    <t>ESTIMADA</t>
  </si>
  <si>
    <t xml:space="preserve">Mejor Tasa </t>
  </si>
  <si>
    <t xml:space="preserve">Peor Tasa </t>
  </si>
  <si>
    <t>TENDENCIAL 2001-2011</t>
  </si>
  <si>
    <t xml:space="preserve">Tasa Promedio </t>
  </si>
  <si>
    <t>Tasa  Promedio   últimos  5 años</t>
  </si>
  <si>
    <t>tasa Promedio últimos 4 años</t>
  </si>
  <si>
    <t>Tasa  Promedio últimos 3 años</t>
  </si>
  <si>
    <t>Tasa  Promedio últimos 2 años</t>
  </si>
  <si>
    <t>PRONÓSTICO DEL PIB 2012, TENDENCIAL HISTÓRICO- (Millones de B/. 1996)</t>
  </si>
  <si>
    <r>
      <t xml:space="preserve">PIB                       </t>
    </r>
    <r>
      <rPr>
        <b/>
        <sz val="8"/>
        <rFont val="Arial"/>
        <family val="2"/>
      </rPr>
      <t xml:space="preserve"> I TRIM  2012 (E)</t>
    </r>
  </si>
  <si>
    <r>
      <t xml:space="preserve">PIB                       </t>
    </r>
    <r>
      <rPr>
        <b/>
        <sz val="8"/>
        <rFont val="Arial"/>
        <family val="2"/>
      </rPr>
      <t xml:space="preserve"> II TRIM  2012 (E)</t>
    </r>
  </si>
  <si>
    <r>
      <t xml:space="preserve">PIB                       </t>
    </r>
    <r>
      <rPr>
        <b/>
        <sz val="8"/>
        <rFont val="Arial"/>
        <family val="2"/>
      </rPr>
      <t xml:space="preserve"> I SEM  2012 (E)</t>
    </r>
  </si>
  <si>
    <t>ESTRUCTURA I SEMESTRE  AÑO 2012 (%)</t>
  </si>
  <si>
    <r>
      <t xml:space="preserve">FACTOR MULTIPLE </t>
    </r>
    <r>
      <rPr>
        <b/>
        <sz val="8"/>
        <rFont val="Arial"/>
        <family val="2"/>
      </rPr>
      <t>PROMEDIO (*)</t>
    </r>
  </si>
  <si>
    <t>PIB  ESTRUCTURAL  AÑO 2012</t>
  </si>
  <si>
    <t>ESTRUCTURA  AJUSTADA   AÑO 2012 (%)</t>
  </si>
  <si>
    <t>PIB ESTIMADO   AJUSTADO A TASA PROMEDIO  AÑO 2012</t>
  </si>
  <si>
    <t>VARIACION DEL PIB   AÑO 2012 -2011</t>
  </si>
  <si>
    <t>Fuente:  Elaboracion propia con base en los boletines INEC, Panamá en Cifras 2002-06</t>
  </si>
  <si>
    <t xml:space="preserve">PIB ESTIMADO AL 2012 </t>
  </si>
  <si>
    <t>AL SEGUNDO TRIMESTRE DE 2012</t>
  </si>
  <si>
    <t xml:space="preserve">(*)  Promedio de Factor Multiple Anual - I Semestre , años 2005-2012 </t>
  </si>
  <si>
    <t xml:space="preserve">PIB ESTIMADO DEL AÑO  2013 </t>
  </si>
  <si>
    <t>SEGÚN ACTIVIDAD ECONOMICA Y DIVISION ECONOMICA  AL SEGUNDO  TRIMESTRE DEL 2012</t>
  </si>
  <si>
    <t>AÑO  2013</t>
  </si>
  <si>
    <r>
      <t xml:space="preserve">ESCENARIO PESIMISTA </t>
    </r>
    <r>
      <rPr>
        <sz val="8"/>
        <rFont val="Arial"/>
        <family val="2"/>
      </rPr>
      <t>(3</t>
    </r>
    <r>
      <rPr>
        <sz val="10"/>
        <rFont val="Arial"/>
        <family val="2"/>
      </rPr>
      <t>)</t>
    </r>
  </si>
  <si>
    <t>PIB                  2011 (P)</t>
  </si>
  <si>
    <r>
      <t xml:space="preserve">PIB ESTIMADO AÑO 2012   </t>
    </r>
    <r>
      <rPr>
        <b/>
        <sz val="8"/>
        <rFont val="Arial"/>
        <family val="2"/>
      </rPr>
      <t xml:space="preserve"> (Est II Trim.)</t>
    </r>
  </si>
  <si>
    <t>VARIACION DEL PIB  I SEM              2012-2011</t>
  </si>
  <si>
    <t>VARIACION ANUAL DEL PIB  ESTIMADA              2012-2011</t>
  </si>
  <si>
    <r>
      <t xml:space="preserve">PIB ESTIMADO AÑO 2013   </t>
    </r>
    <r>
      <rPr>
        <b/>
        <sz val="8"/>
        <rFont val="Arial"/>
        <family val="2"/>
      </rPr>
      <t xml:space="preserve"> OPTIMISTA</t>
    </r>
  </si>
  <si>
    <t>ESTRUCTURA ESTIMADA  AÑO 2013 (%)</t>
  </si>
  <si>
    <r>
      <t xml:space="preserve">PIB ESTIMADO AÑO 2013   </t>
    </r>
    <r>
      <rPr>
        <b/>
        <sz val="8"/>
        <rFont val="Arial"/>
        <family val="2"/>
      </rPr>
      <t xml:space="preserve"> MODERADO</t>
    </r>
  </si>
  <si>
    <r>
      <t xml:space="preserve">PIB ESTIMADO AÑO 2013   </t>
    </r>
    <r>
      <rPr>
        <b/>
        <sz val="8"/>
        <rFont val="Arial"/>
        <family val="2"/>
      </rPr>
      <t xml:space="preserve"> PESISMISTA</t>
    </r>
  </si>
  <si>
    <t xml:space="preserve">Las tasas de variaciones utilizadas para degfinir el posible estado de los diferentes rubros del PIB en el año 2013, se enmarcan prtrincipalmente dentro de los pronosticos publicados por Entidades Internacionales y expertos economistas. </t>
  </si>
  <si>
    <t>Comportamiento esperado con base en la variacion anual de uno de los  mejores  año del periodo 2005-2011. Variacion del Ultimo año 2011   (10.85%).    PIB Tres metodologias (M), Variacion de Tasa de crecimiento Anual.  Columna AL</t>
  </si>
  <si>
    <t xml:space="preserve">Basado en el comportamiento historico promedio de los años 2001-2011.  Casi similar a la variacion evidenciada en el año 2010. Resultando en una  tasa de crecimiento promedio anual 2001-2011 (&gt;7.4%).   PIB Tres metodologias (M), </t>
  </si>
  <si>
    <t xml:space="preserve">Variacion de Tasa de crecimiento Anua Promedio.  Columna AM </t>
  </si>
  <si>
    <t xml:space="preserve">Basado en el peor comportamiento del periodo 2001-2011, Variacion anual del año 2009,(&lt; 4.0%) .   PIB Tres metodologias (M), Variacion de Tasa de crecimiento Anua Promedio.  Columna AJ  </t>
  </si>
  <si>
    <r>
      <t xml:space="preserve">Producto Interno Bruto 2011 de 10.86% </t>
    </r>
    <r>
      <rPr>
        <b/>
        <sz val="8"/>
        <rFont val="Arial"/>
        <family val="2"/>
      </rPr>
      <t>(2)</t>
    </r>
  </si>
  <si>
    <t>2006-2027</t>
  </si>
  <si>
    <t>2006-2011</t>
  </si>
  <si>
    <t>2013-2027</t>
  </si>
  <si>
    <t>2013-2016</t>
  </si>
  <si>
    <t>2017-2020</t>
  </si>
  <si>
    <t>2021-2027</t>
  </si>
  <si>
    <t>2017-2027</t>
  </si>
  <si>
    <t xml:space="preserve">(1) Escenarios a partir de un Producto Interno Bruto preeliminar del 2011 de 10.85%, y del estimado para el año 2012 de 10.66%.   </t>
  </si>
  <si>
    <t xml:space="preserve">Desarrollo de ETESA </t>
  </si>
  <si>
    <r>
      <t xml:space="preserve">EMPALME DE BASES 1982  </t>
    </r>
    <r>
      <rPr>
        <b/>
        <sz val="18"/>
        <rFont val="Arial"/>
        <family val="2"/>
      </rPr>
      <t xml:space="preserve">  =&gt;</t>
    </r>
    <r>
      <rPr>
        <b/>
        <sz val="14"/>
        <rFont val="Arial"/>
        <family val="2"/>
      </rPr>
      <t xml:space="preserve">  1996</t>
    </r>
  </si>
  <si>
    <t>PROYECCION 2011-2025</t>
  </si>
  <si>
    <t>TIPO</t>
  </si>
  <si>
    <t xml:space="preserve">EN DOLARES </t>
  </si>
  <si>
    <t>INDICE IPI</t>
  </si>
  <si>
    <t xml:space="preserve">DURANTE EL PERIODO DE EVALUACION DEL PLAN  2010-2024 </t>
  </si>
  <si>
    <r>
      <t>(1)</t>
    </r>
    <r>
      <rPr>
        <sz val="10"/>
        <rFont val="Arial"/>
        <family val="2"/>
      </rPr>
      <t xml:space="preserve"> Escenarios a partir de un Producto Interno bruto al 2010 de 7.6%, estimado previstoinicial del MEF para este año. </t>
    </r>
  </si>
  <si>
    <r>
      <t>(2)</t>
    </r>
    <r>
      <rPr>
        <sz val="10"/>
        <rFont val="Arial"/>
        <family val="2"/>
      </rPr>
      <t xml:space="preserve"> Escenarios a partir de un Producto Interno bruto al 2011 de 10.35%, derivado del comportamiento real del PIB durante los tres primeros trimestres del año,   Boletin de la Dirección de ESTAdisticas y Censo,</t>
    </r>
  </si>
  <si>
    <r>
      <t>(3)</t>
    </r>
    <r>
      <rPr>
        <sz val="10"/>
        <rFont val="Arial"/>
        <family val="2"/>
      </rPr>
      <t xml:space="preserve"> Escenario Moderado esta basado en el escenario </t>
    </r>
    <r>
      <rPr>
        <b/>
        <i/>
        <sz val="10"/>
        <rFont val="Arial"/>
        <family val="2"/>
      </rPr>
      <t>"mas probable"</t>
    </r>
    <r>
      <rPr>
        <sz val="10"/>
        <rFont val="Arial"/>
        <family val="2"/>
      </rPr>
      <t xml:space="preserve"> definido por INTRACORP, Voumen  III, xxiv .Con Expansion del Canal, incremento de 3.5% de peajes,e inversion de 5.5 miles de millones de $ USA.</t>
    </r>
  </si>
  <si>
    <r>
      <t>(4)</t>
    </r>
    <r>
      <rPr>
        <sz val="10"/>
        <rFont val="Arial"/>
        <family val="2"/>
      </rPr>
      <t xml:space="preserve"> Escenario Optimista esta basado en el </t>
    </r>
    <r>
      <rPr>
        <b/>
        <i/>
        <sz val="10"/>
        <rFont val="Arial"/>
        <family val="2"/>
      </rPr>
      <t>"mejor escenario"</t>
    </r>
    <r>
      <rPr>
        <sz val="10"/>
        <rFont val="Arial"/>
        <family val="2"/>
      </rPr>
      <t>, definido por INTRACORP, Voumen  III, xxiv .Con Expansion del Canal , incremento de 3.5% de peajes,e inversion de 4.7 miles de millones de $ USA.</t>
    </r>
  </si>
  <si>
    <r>
      <t>(5)</t>
    </r>
    <r>
      <rPr>
        <sz val="10"/>
        <rFont val="Arial"/>
        <family val="2"/>
      </rPr>
      <t xml:space="preserve"> Escenario Pesimista esta basado en el </t>
    </r>
    <r>
      <rPr>
        <b/>
        <i/>
        <sz val="10"/>
        <rFont val="Arial"/>
        <family val="2"/>
      </rPr>
      <t>"peor escenario"</t>
    </r>
    <r>
      <rPr>
        <sz val="10"/>
        <rFont val="Arial"/>
        <family val="2"/>
      </rPr>
      <t>, definido por INTRACORP, Voumen  III, xxiv .Con Expansion del Canal , incremento de 3.5% de peajes,e inversion de 4.7 miles de millones de $ USA.</t>
    </r>
  </si>
  <si>
    <r>
      <t>(6)</t>
    </r>
    <r>
      <rPr>
        <sz val="10"/>
        <rFont val="Arial"/>
        <family val="2"/>
      </rPr>
      <t xml:space="preserve"> Las tasas de crecimiento de los escenarios moderado, optimista y pesimista para el 2012 con respecto al año precedente fueron estimadas en 7.85, 11.39 y 4.31 por ciento.   Tasa derivadas de la simulacion</t>
    </r>
  </si>
  <si>
    <t>PIB REAL</t>
  </si>
  <si>
    <t>PIB IND</t>
  </si>
  <si>
    <t>2001-2012</t>
  </si>
  <si>
    <t>2005-2012</t>
  </si>
  <si>
    <t>2008-2012</t>
  </si>
  <si>
    <t>2009-2012</t>
  </si>
  <si>
    <t>CUADRO  No. 9</t>
  </si>
  <si>
    <t>Estimado 2012 y Proyeccciones 2013 - 2027</t>
  </si>
  <si>
    <t>DEMANDA DE LA PROVINCIA DE BOCAS DEL TORO (CARGA INTEGRADA AL SIN)  Años 2013 -2027</t>
  </si>
  <si>
    <t>AÑOS 2013 -2027</t>
  </si>
  <si>
    <t xml:space="preserve">DURANTE EL PERIODO DE EVALUACION DEL PESIN  2013-2027 </t>
  </si>
  <si>
    <t>EN CONSIDERACION AL PIB ESTIMADO DE 2012</t>
  </si>
  <si>
    <t>PIB ESTIMADOS  2013 -2027, A PRECIOS DE 1996</t>
  </si>
  <si>
    <t xml:space="preserve">Cuadro  9 </t>
  </si>
  <si>
    <t xml:space="preserve">PIB MANUFACTURA   2013 - 2027 </t>
  </si>
  <si>
    <t>(2012-2016)</t>
  </si>
  <si>
    <t>OIL PRICES USA</t>
  </si>
  <si>
    <t>USA  ELECTRICAL REAL </t>
  </si>
</sst>
</file>

<file path=xl/styles.xml><?xml version="1.0" encoding="utf-8"?>
<styleSheet xmlns="http://schemas.openxmlformats.org/spreadsheetml/2006/main">
  <numFmts count="24">
    <numFmt numFmtId="43" formatCode="_-* #,##0.00_-;\-* #,##0.00_-;_-* &quot;-&quot;??_-;_-@_-"/>
    <numFmt numFmtId="164" formatCode="0.0"/>
    <numFmt numFmtId="165" formatCode="_-* #,##0.0_-;\-* #,##0.0_-;_-* &quot;-&quot;??_-;_-@_-"/>
    <numFmt numFmtId="166" formatCode="_-* #,##0_-;\-* #,##0_-;_-* &quot;-&quot;??_-;_-@_-"/>
    <numFmt numFmtId="167" formatCode="0.000"/>
    <numFmt numFmtId="168" formatCode="0.0%"/>
    <numFmt numFmtId="169" formatCode="_-* #,##0.00\ _$_-;\-* #,##0.00\ _$_-;_-* &quot;-&quot;??\ _$_-;_-@_-"/>
    <numFmt numFmtId="170" formatCode="_-* #,##0\ _$_-;\-* #,##0\ _$_-;_-* &quot;-&quot;??\ _$_-;_-@_-"/>
    <numFmt numFmtId="171" formatCode="_-* #,##0.000_-;\-* #,##0.000_-;_-* &quot;-&quot;??_-;_-@_-"/>
    <numFmt numFmtId="172" formatCode="#,##0.0_ ;[Red]\-#,##0.0\ "/>
    <numFmt numFmtId="173" formatCode="#,##0.0"/>
    <numFmt numFmtId="174" formatCode="_-* #,##0.0\ _$_-;\-* #,##0.0\ _$_-;_-* &quot;-&quot;??\ _$_-;_-@_-"/>
    <numFmt numFmtId="175" formatCode="0.00_ ;[Red]\-0.00\ "/>
    <numFmt numFmtId="176" formatCode="_([$€]* #,##0.00_);_([$€]* \(#,##0.00\);_([$€]* &quot;-&quot;??_);_(@_)"/>
    <numFmt numFmtId="177" formatCode="0.0000_ ;[Red]\-0.0000\ "/>
    <numFmt numFmtId="178" formatCode="_-* #,##0.0_-;\-* #,##0.0_-;_-* &quot;-&quot;?_-;_-@_-"/>
    <numFmt numFmtId="179" formatCode="#,##0.0_ ;\-#,##0.0\ "/>
    <numFmt numFmtId="180" formatCode="#,##0.0000"/>
    <numFmt numFmtId="181" formatCode="#,##0.00_ ;\-#,##0.00\ "/>
    <numFmt numFmtId="182" formatCode="0.000%"/>
    <numFmt numFmtId="183" formatCode="0.0000"/>
    <numFmt numFmtId="184" formatCode="0.00000000000"/>
    <numFmt numFmtId="185" formatCode="0.0000000%"/>
    <numFmt numFmtId="186" formatCode="0.00000000"/>
  </numFmts>
  <fonts count="10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10"/>
      <name val="Arial"/>
      <family val="2"/>
    </font>
    <font>
      <sz val="9"/>
      <name val="Arial"/>
      <family val="2"/>
    </font>
    <font>
      <b/>
      <sz val="8"/>
      <color indexed="81"/>
      <name val="Tahoma"/>
      <family val="2"/>
    </font>
    <font>
      <sz val="8"/>
      <color indexed="81"/>
      <name val="Tahoma"/>
      <family val="2"/>
    </font>
    <font>
      <b/>
      <sz val="9"/>
      <name val="Arial"/>
      <family val="2"/>
    </font>
    <font>
      <sz val="6"/>
      <name val="Arial"/>
      <family val="2"/>
    </font>
    <font>
      <sz val="10"/>
      <color indexed="12"/>
      <name val="Arial"/>
      <family val="2"/>
    </font>
    <font>
      <b/>
      <sz val="10"/>
      <color indexed="12"/>
      <name val="Arial"/>
      <family val="2"/>
    </font>
    <font>
      <sz val="8"/>
      <name val="Arial"/>
      <family val="2"/>
    </font>
    <font>
      <sz val="10"/>
      <color indexed="8"/>
      <name val="Arial"/>
      <family val="2"/>
    </font>
    <font>
      <b/>
      <sz val="10"/>
      <color indexed="8"/>
      <name val="Arial"/>
      <family val="2"/>
    </font>
    <font>
      <b/>
      <sz val="8"/>
      <name val="Arial"/>
      <family val="2"/>
    </font>
    <font>
      <sz val="10"/>
      <color indexed="10"/>
      <name val="Arial"/>
      <family val="2"/>
    </font>
    <font>
      <b/>
      <sz val="10"/>
      <color indexed="10"/>
      <name val="Arial"/>
      <family val="2"/>
    </font>
    <font>
      <b/>
      <sz val="8"/>
      <color indexed="12"/>
      <name val="Arial"/>
      <family val="2"/>
    </font>
    <font>
      <sz val="11"/>
      <name val="Arial"/>
      <family val="2"/>
    </font>
    <font>
      <b/>
      <sz val="6"/>
      <name val="Arial"/>
      <family val="2"/>
    </font>
    <font>
      <sz val="12"/>
      <name val="SWISS"/>
    </font>
    <font>
      <b/>
      <sz val="10"/>
      <color indexed="9"/>
      <name val="Arial"/>
      <family val="2"/>
    </font>
    <font>
      <b/>
      <sz val="11"/>
      <color indexed="8"/>
      <name val="Arial"/>
      <family val="2"/>
    </font>
    <font>
      <b/>
      <sz val="14"/>
      <name val="Arial"/>
      <family val="2"/>
    </font>
    <font>
      <sz val="14"/>
      <name val="Arial"/>
      <family val="2"/>
    </font>
    <font>
      <b/>
      <sz val="10"/>
      <color indexed="48"/>
      <name val="Arial"/>
      <family val="2"/>
    </font>
    <font>
      <b/>
      <sz val="10"/>
      <color indexed="17"/>
      <name val="Arial"/>
      <family val="2"/>
    </font>
    <font>
      <b/>
      <sz val="8"/>
      <color indexed="17"/>
      <name val="Arial"/>
      <family val="2"/>
    </font>
    <font>
      <b/>
      <i/>
      <sz val="10"/>
      <name val="Arial"/>
      <family val="2"/>
    </font>
    <font>
      <sz val="8"/>
      <color indexed="41"/>
      <name val="Arial"/>
      <family val="2"/>
    </font>
    <font>
      <b/>
      <sz val="18"/>
      <name val="Arial"/>
      <family val="2"/>
    </font>
    <font>
      <i/>
      <sz val="8"/>
      <name val="Arial"/>
      <family val="2"/>
    </font>
    <font>
      <sz val="10"/>
      <color indexed="17"/>
      <name val="Arial"/>
      <family val="2"/>
    </font>
    <font>
      <sz val="10"/>
      <name val="Symbol"/>
      <family val="1"/>
      <charset val="2"/>
    </font>
    <font>
      <b/>
      <sz val="14"/>
      <name val="Symbol"/>
      <family val="1"/>
      <charset val="2"/>
    </font>
    <font>
      <sz val="8"/>
      <color indexed="12"/>
      <name val="Arial"/>
      <family val="2"/>
    </font>
    <font>
      <sz val="10"/>
      <name val="Arial"/>
      <family val="2"/>
    </font>
    <font>
      <sz val="10"/>
      <color indexed="30"/>
      <name val="Arial"/>
      <family val="2"/>
    </font>
    <font>
      <b/>
      <sz val="8"/>
      <color indexed="30"/>
      <name val="Arial"/>
      <family val="2"/>
    </font>
    <font>
      <b/>
      <sz val="9"/>
      <color indexed="17"/>
      <name val="Arial"/>
      <family val="2"/>
    </font>
    <font>
      <sz val="8"/>
      <color indexed="17"/>
      <name val="Arial"/>
      <family val="2"/>
    </font>
    <font>
      <b/>
      <sz val="9"/>
      <color indexed="62"/>
      <name val="Arial"/>
      <family val="2"/>
    </font>
    <font>
      <sz val="10"/>
      <color rgb="FF0070C0"/>
      <name val="Arial"/>
      <family val="2"/>
    </font>
    <font>
      <sz val="8"/>
      <color rgb="FF0070C0"/>
      <name val="Arial"/>
      <family val="2"/>
    </font>
    <font>
      <b/>
      <sz val="10"/>
      <color rgb="FF00B050"/>
      <name val="Arial"/>
      <family val="2"/>
    </font>
    <font>
      <b/>
      <sz val="16"/>
      <name val="Arial"/>
      <family val="2"/>
    </font>
    <font>
      <b/>
      <sz val="11"/>
      <name val="Arial"/>
      <family val="2"/>
    </font>
    <font>
      <sz val="14"/>
      <color theme="1"/>
      <name val="Calibri"/>
      <family val="2"/>
      <scheme val="minor"/>
    </font>
    <font>
      <sz val="12"/>
      <color theme="1"/>
      <name val="Calibri"/>
      <family val="2"/>
      <scheme val="minor"/>
    </font>
    <font>
      <sz val="10"/>
      <color theme="1"/>
      <name val="Calibri"/>
      <family val="2"/>
      <scheme val="minor"/>
    </font>
    <font>
      <sz val="16"/>
      <color theme="1"/>
      <name val="Calibri"/>
      <family val="2"/>
      <scheme val="minor"/>
    </font>
    <font>
      <sz val="10"/>
      <color rgb="FF00B050"/>
      <name val="Arial"/>
      <family val="2"/>
    </font>
    <font>
      <sz val="10"/>
      <name val="Arial"/>
      <family val="2"/>
    </font>
    <font>
      <b/>
      <sz val="14"/>
      <color rgb="FFFF0000"/>
      <name val="Arial"/>
      <family val="2"/>
    </font>
    <font>
      <b/>
      <sz val="11"/>
      <color rgb="FFFF0000"/>
      <name val="Arial"/>
      <family val="2"/>
    </font>
    <font>
      <sz val="10"/>
      <color rgb="FFFF0000"/>
      <name val="Arial"/>
      <family val="2"/>
    </font>
    <font>
      <b/>
      <sz val="10"/>
      <color rgb="FFFF0000"/>
      <name val="Arial"/>
      <family val="2"/>
    </font>
    <font>
      <b/>
      <sz val="9"/>
      <color rgb="FFFF0000"/>
      <name val="Arial"/>
      <family val="2"/>
    </font>
    <font>
      <b/>
      <sz val="6"/>
      <color rgb="FFFF0000"/>
      <name val="Arial"/>
      <family val="2"/>
    </font>
    <font>
      <u/>
      <sz val="10"/>
      <color indexed="12"/>
      <name val="Arial"/>
      <family val="2"/>
    </font>
    <font>
      <b/>
      <sz val="10"/>
      <color rgb="FF091ABF"/>
      <name val="Arial"/>
      <family val="2"/>
    </font>
    <font>
      <sz val="10"/>
      <color rgb="FF091ABF"/>
      <name val="Arial"/>
      <family val="2"/>
    </font>
    <font>
      <b/>
      <sz val="9"/>
      <color indexed="81"/>
      <name val="Tahoma"/>
      <family val="2"/>
    </font>
    <font>
      <sz val="9"/>
      <color indexed="81"/>
      <name val="Tahoma"/>
      <family val="2"/>
    </font>
    <font>
      <sz val="11"/>
      <name val="Calibri"/>
      <family val="2"/>
      <scheme val="minor"/>
    </font>
    <font>
      <i/>
      <sz val="9"/>
      <name val="Arial"/>
      <family val="2"/>
    </font>
    <font>
      <b/>
      <sz val="8"/>
      <color rgb="FF002060"/>
      <name val="Arial"/>
      <family val="2"/>
    </font>
    <font>
      <u val="singleAccounting"/>
      <sz val="10"/>
      <name val="Arial"/>
      <family val="2"/>
    </font>
    <font>
      <b/>
      <i/>
      <sz val="6"/>
      <name val="Arial"/>
      <family val="2"/>
    </font>
    <font>
      <sz val="9"/>
      <name val="Verdana"/>
      <family val="2"/>
    </font>
    <font>
      <vertAlign val="subscript"/>
      <sz val="9"/>
      <name val="Verdana"/>
      <family val="2"/>
    </font>
    <font>
      <b/>
      <sz val="8"/>
      <color theme="3" tint="0.39994506668294322"/>
      <name val="Arial"/>
      <family val="2"/>
    </font>
    <font>
      <b/>
      <sz val="8"/>
      <color rgb="FF00B050"/>
      <name val="Arial"/>
      <family val="2"/>
    </font>
    <font>
      <sz val="8"/>
      <color rgb="FF00B050"/>
      <name val="Arial"/>
      <family val="2"/>
    </font>
    <font>
      <b/>
      <sz val="12"/>
      <color rgb="FFFF0000"/>
      <name val="Arial"/>
      <family val="2"/>
    </font>
    <font>
      <b/>
      <sz val="8"/>
      <color rgb="FFFF0000"/>
      <name val="Arial"/>
      <family val="2"/>
    </font>
    <font>
      <b/>
      <vertAlign val="subscript"/>
      <sz val="8"/>
      <color rgb="FFFF0000"/>
      <name val="Arial"/>
      <family val="2"/>
    </font>
    <font>
      <sz val="12"/>
      <name val="Arial"/>
      <family val="2"/>
    </font>
    <font>
      <vertAlign val="subscript"/>
      <sz val="10"/>
      <color rgb="FFFF0000"/>
      <name val="Arial"/>
      <family val="2"/>
    </font>
    <font>
      <sz val="8"/>
      <color theme="1"/>
      <name val="Calibri"/>
      <family val="2"/>
      <scheme val="minor"/>
    </font>
    <font>
      <b/>
      <sz val="10"/>
      <color theme="1"/>
      <name val="Arial"/>
      <family val="2"/>
    </font>
    <font>
      <b/>
      <sz val="8"/>
      <color theme="1"/>
      <name val="Arial"/>
      <family val="2"/>
    </font>
    <font>
      <b/>
      <sz val="8"/>
      <color theme="1"/>
      <name val="Calibri"/>
      <family val="2"/>
      <scheme val="minor"/>
    </font>
    <font>
      <b/>
      <sz val="14"/>
      <color theme="0"/>
      <name val="Arial"/>
      <family val="2"/>
    </font>
    <font>
      <b/>
      <sz val="12"/>
      <color theme="0"/>
      <name val="Arial"/>
      <family val="2"/>
    </font>
    <font>
      <b/>
      <sz val="10"/>
      <color theme="0"/>
      <name val="Arial"/>
      <family val="2"/>
    </font>
    <font>
      <b/>
      <sz val="8"/>
      <color theme="0"/>
      <name val="Arial"/>
      <family val="2"/>
    </font>
    <font>
      <b/>
      <vertAlign val="subscript"/>
      <sz val="9"/>
      <color rgb="FFFF0000"/>
      <name val="Arial"/>
      <family val="2"/>
    </font>
    <font>
      <vertAlign val="superscript"/>
      <sz val="10"/>
      <name val="Arial"/>
      <family val="2"/>
    </font>
    <font>
      <sz val="8"/>
      <color indexed="8"/>
      <name val="Arial"/>
      <family val="2"/>
    </font>
    <font>
      <sz val="8"/>
      <color rgb="FFFF0000"/>
      <name val="Arial"/>
      <family val="2"/>
    </font>
    <font>
      <b/>
      <sz val="8"/>
      <color indexed="8"/>
      <name val="Arial"/>
      <family val="2"/>
    </font>
    <font>
      <b/>
      <sz val="9"/>
      <color theme="3" tint="0.39994506668294322"/>
      <name val="Arial"/>
      <family val="2"/>
    </font>
    <font>
      <sz val="10"/>
      <color rgb="FF00B0F0"/>
      <name val="Arial"/>
      <family val="2"/>
    </font>
    <font>
      <b/>
      <sz val="8"/>
      <color rgb="FF00B0F0"/>
      <name val="Arial"/>
      <family val="2"/>
    </font>
    <font>
      <b/>
      <sz val="9"/>
      <color rgb="FF00B0F0"/>
      <name val="Arial"/>
      <family val="2"/>
    </font>
    <font>
      <b/>
      <sz val="10"/>
      <color rgb="FF00B0F0"/>
      <name val="Arial"/>
      <family val="2"/>
    </font>
    <font>
      <sz val="8"/>
      <color rgb="FF00B0F0"/>
      <name val="Arial"/>
      <family val="2"/>
    </font>
  </fonts>
  <fills count="1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6"/>
        <bgColor indexed="64"/>
      </patternFill>
    </fill>
    <fill>
      <patternFill patternType="solid">
        <fgColor indexed="9"/>
        <bgColor indexed="64"/>
      </patternFill>
    </fill>
    <fill>
      <patternFill patternType="darkGray">
        <fgColor indexed="21"/>
        <bgColor indexed="17"/>
      </patternFill>
    </fill>
    <fill>
      <patternFill patternType="solid">
        <fgColor indexed="5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9" tint="0.39994506668294322"/>
        <bgColor indexed="64"/>
      </patternFill>
    </fill>
    <fill>
      <patternFill patternType="solid">
        <fgColor theme="6" tint="0.79998168889431442"/>
        <bgColor indexed="64"/>
      </patternFill>
    </fill>
    <fill>
      <patternFill patternType="solid">
        <fgColor rgb="FFFFFFFF"/>
        <bgColor indexed="64"/>
      </patternFill>
    </fill>
    <fill>
      <patternFill patternType="solid">
        <fgColor theme="3" tint="0.39994506668294322"/>
        <bgColor indexed="64"/>
      </patternFill>
    </fill>
    <fill>
      <patternFill patternType="solid">
        <fgColor theme="0" tint="-0.14996795556505021"/>
        <bgColor indexed="64"/>
      </patternFill>
    </fill>
  </fills>
  <borders count="2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medium">
        <color indexed="64"/>
      </right>
      <top/>
      <bottom style="thin">
        <color indexed="64"/>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thin">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8"/>
      </left>
      <right style="thin">
        <color indexed="8"/>
      </right>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8"/>
      </left>
      <right style="thin">
        <color indexed="64"/>
      </right>
      <top/>
      <bottom/>
      <diagonal/>
    </border>
    <border>
      <left/>
      <right style="thin">
        <color indexed="64"/>
      </right>
      <top/>
      <bottom/>
      <diagonal/>
    </border>
    <border>
      <left/>
      <right style="thin">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medium">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medium">
        <color indexed="64"/>
      </left>
      <right style="medium">
        <color indexed="64"/>
      </right>
      <top/>
      <bottom style="thin">
        <color indexed="64"/>
      </bottom>
      <diagonal/>
    </border>
    <border>
      <left/>
      <right style="thin">
        <color indexed="64"/>
      </right>
      <top/>
      <bottom style="hair">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hair">
        <color indexed="64"/>
      </top>
      <bottom style="hair">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bottom style="thin">
        <color auto="1"/>
      </bottom>
      <diagonal/>
    </border>
    <border>
      <left/>
      <right/>
      <top/>
      <bottom style="thin">
        <color rgb="FF00B050"/>
      </bottom>
      <diagonal/>
    </border>
    <border>
      <left/>
      <right/>
      <top style="thin">
        <color rgb="FF0070C0"/>
      </top>
      <bottom/>
      <diagonal/>
    </border>
    <border>
      <left style="thick">
        <color rgb="FFFF0000"/>
      </left>
      <right/>
      <top style="thick">
        <color rgb="FFFF0000"/>
      </top>
      <bottom/>
      <diagonal/>
    </border>
    <border>
      <left/>
      <right style="thin">
        <color rgb="FFFF0000"/>
      </right>
      <top style="thick">
        <color rgb="FFFF0000"/>
      </top>
      <bottom/>
      <diagonal/>
    </border>
    <border>
      <left style="thin">
        <color rgb="FFFF0000"/>
      </left>
      <right style="thin">
        <color rgb="FFFF0000"/>
      </right>
      <top style="thick">
        <color rgb="FFFF0000"/>
      </top>
      <bottom/>
      <diagonal/>
    </border>
    <border>
      <left style="thin">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style="thin">
        <color rgb="FFFF0000"/>
      </right>
      <top style="thick">
        <color rgb="FFFF0000"/>
      </top>
      <bottom/>
      <diagonal/>
    </border>
    <border>
      <left style="thick">
        <color rgb="FFFF0000"/>
      </left>
      <right/>
      <top/>
      <bottom/>
      <diagonal/>
    </border>
    <border>
      <left/>
      <right style="thin">
        <color rgb="FFFF0000"/>
      </right>
      <top/>
      <bottom/>
      <diagonal/>
    </border>
    <border>
      <left style="thin">
        <color rgb="FFFF0000"/>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style="thick">
        <color rgb="FFFF0000"/>
      </right>
      <top/>
      <bottom style="thin">
        <color rgb="FFFF0000"/>
      </bottom>
      <diagonal/>
    </border>
    <border>
      <left style="thick">
        <color rgb="FFFF0000"/>
      </left>
      <right style="thin">
        <color rgb="FFFF0000"/>
      </right>
      <top/>
      <bottom/>
      <diagonal/>
    </border>
    <border>
      <left style="thin">
        <color rgb="FFFF0000"/>
      </left>
      <right/>
      <top/>
      <bottom/>
      <diagonal/>
    </border>
    <border>
      <left/>
      <right style="thick">
        <color rgb="FFFF0000"/>
      </right>
      <top/>
      <bottom/>
      <diagonal/>
    </border>
    <border>
      <left style="thin">
        <color rgb="FFFF0000"/>
      </left>
      <right/>
      <top style="thin">
        <color rgb="FFFF0000"/>
      </top>
      <bottom/>
      <diagonal/>
    </border>
    <border>
      <left/>
      <right/>
      <top style="thin">
        <color rgb="FFFF0000"/>
      </top>
      <bottom/>
      <diagonal/>
    </border>
    <border>
      <left/>
      <right style="thick">
        <color rgb="FFFF0000"/>
      </right>
      <top style="thin">
        <color rgb="FFFF0000"/>
      </top>
      <bottom/>
      <diagonal/>
    </border>
    <border>
      <left style="thin">
        <color rgb="FFFF0000"/>
      </left>
      <right style="thin">
        <color rgb="FFFF0000"/>
      </right>
      <top/>
      <bottom style="medium">
        <color rgb="FFFF0000"/>
      </bottom>
      <diagonal/>
    </border>
    <border>
      <left style="thin">
        <color rgb="FFFF0000"/>
      </left>
      <right/>
      <top/>
      <bottom style="medium">
        <color rgb="FFFF0000"/>
      </bottom>
      <diagonal/>
    </border>
    <border>
      <left/>
      <right/>
      <top/>
      <bottom style="medium">
        <color rgb="FFFF0000"/>
      </bottom>
      <diagonal/>
    </border>
    <border>
      <left/>
      <right style="thick">
        <color rgb="FFFF0000"/>
      </right>
      <top/>
      <bottom style="medium">
        <color rgb="FFFF0000"/>
      </bottom>
      <diagonal/>
    </border>
    <border>
      <left style="thick">
        <color rgb="FFFF0000"/>
      </left>
      <right style="thin">
        <color rgb="FFFF0000"/>
      </right>
      <top/>
      <bottom style="medium">
        <color rgb="FFFF0000"/>
      </bottom>
      <diagonal/>
    </border>
    <border>
      <left style="thick">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hair">
        <color indexed="64"/>
      </top>
      <bottom style="thin">
        <color rgb="FF00B050"/>
      </bottom>
      <diagonal/>
    </border>
    <border>
      <left style="thin">
        <color indexed="64"/>
      </left>
      <right style="thin">
        <color indexed="64"/>
      </right>
      <top style="hair">
        <color indexed="64"/>
      </top>
      <bottom style="thin">
        <color rgb="FF00B050"/>
      </bottom>
      <diagonal/>
    </border>
    <border>
      <left style="thin">
        <color indexed="64"/>
      </left>
      <right style="medium">
        <color indexed="64"/>
      </right>
      <top style="hair">
        <color indexed="64"/>
      </top>
      <bottom style="thin">
        <color rgb="FF00B050"/>
      </bottom>
      <diagonal/>
    </border>
    <border>
      <left style="medium">
        <color indexed="64"/>
      </left>
      <right style="thin">
        <color indexed="64"/>
      </right>
      <top style="thin">
        <color rgb="FF00B050"/>
      </top>
      <bottom style="thin">
        <color rgb="FF00B050"/>
      </bottom>
      <diagonal/>
    </border>
    <border>
      <left style="thin">
        <color indexed="64"/>
      </left>
      <right style="thin">
        <color indexed="64"/>
      </right>
      <top style="thin">
        <color rgb="FF00B050"/>
      </top>
      <bottom style="thin">
        <color rgb="FF00B050"/>
      </bottom>
      <diagonal/>
    </border>
    <border>
      <left style="thin">
        <color indexed="64"/>
      </left>
      <right style="medium">
        <color indexed="64"/>
      </right>
      <top style="thin">
        <color rgb="FF00B050"/>
      </top>
      <bottom style="thin">
        <color rgb="FF00B050"/>
      </bottom>
      <diagonal/>
    </border>
    <border>
      <left style="thin">
        <color indexed="64"/>
      </left>
      <right/>
      <top/>
      <bottom style="thin">
        <color indexed="64"/>
      </bottom>
      <diagonal/>
    </border>
    <border>
      <left/>
      <right/>
      <top style="hair">
        <color indexed="64"/>
      </top>
      <bottom style="medium">
        <color indexed="64"/>
      </bottom>
      <diagonal/>
    </border>
    <border>
      <left style="thick">
        <color theme="9" tint="-0.499984740745262"/>
      </left>
      <right style="thick">
        <color theme="9" tint="-0.499984740745262"/>
      </right>
      <top style="thick">
        <color theme="9" tint="-0.499984740745262"/>
      </top>
      <bottom style="thick">
        <color theme="9" tint="-0.499984740745262"/>
      </bottom>
      <diagonal/>
    </border>
    <border>
      <left/>
      <right style="thin">
        <color indexed="64"/>
      </right>
      <top style="hair">
        <color indexed="64"/>
      </top>
      <bottom style="thin">
        <color indexed="64"/>
      </bottom>
      <diagonal/>
    </border>
    <border>
      <left/>
      <right/>
      <top style="thin">
        <color theme="3" tint="0.39994506668294322"/>
      </top>
      <bottom style="thin">
        <color theme="3" tint="0.39994506668294322"/>
      </bottom>
      <diagonal/>
    </border>
    <border>
      <left/>
      <right/>
      <top style="thin">
        <color theme="3" tint="0.39994506668294322"/>
      </top>
      <bottom/>
      <diagonal/>
    </border>
    <border>
      <left style="medium">
        <color indexed="64"/>
      </left>
      <right/>
      <top style="thin">
        <color rgb="FF00B050"/>
      </top>
      <bottom style="thin">
        <color rgb="FF00B050"/>
      </bottom>
      <diagonal/>
    </border>
    <border>
      <left/>
      <right/>
      <top style="thin">
        <color rgb="FF00B050"/>
      </top>
      <bottom style="thin">
        <color rgb="FF00B050"/>
      </bottom>
      <diagonal/>
    </border>
    <border>
      <left/>
      <right style="medium">
        <color indexed="64"/>
      </right>
      <top style="thin">
        <color rgb="FF00B050"/>
      </top>
      <bottom style="thin">
        <color rgb="FF00B050"/>
      </bottom>
      <diagonal/>
    </border>
    <border>
      <left/>
      <right/>
      <top style="thin">
        <color rgb="FF00B050"/>
      </top>
      <bottom/>
      <diagonal/>
    </border>
    <border>
      <left/>
      <right/>
      <top/>
      <bottom style="thin">
        <color indexed="64"/>
      </bottom>
      <diagonal/>
    </border>
    <border>
      <left/>
      <right/>
      <top/>
      <bottom style="thin">
        <color theme="3" tint="0.39994506668294322"/>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style="thick">
        <color rgb="FFFF0000"/>
      </left>
      <right/>
      <top style="thin">
        <color rgb="FFFF0000"/>
      </top>
      <bottom style="thin">
        <color rgb="FFFF0000"/>
      </bottom>
      <diagonal/>
    </border>
    <border>
      <left/>
      <right/>
      <top style="thin">
        <color rgb="FFFF0000"/>
      </top>
      <bottom style="thin">
        <color rgb="FFFF0000"/>
      </bottom>
      <diagonal/>
    </border>
    <border>
      <left/>
      <right style="medium">
        <color rgb="FFFF0000"/>
      </right>
      <top style="thin">
        <color rgb="FFFF0000"/>
      </top>
      <bottom style="thin">
        <color rgb="FFFF0000"/>
      </bottom>
      <diagonal/>
    </border>
    <border>
      <left style="medium">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style="thin">
        <color rgb="FFFF0000"/>
      </left>
      <right style="thick">
        <color rgb="FFFF0000"/>
      </right>
      <top style="thin">
        <color rgb="FFFF0000"/>
      </top>
      <bottom style="thin">
        <color rgb="FFFF0000"/>
      </bottom>
      <diagonal/>
    </border>
    <border>
      <left style="thick">
        <color rgb="FFFF0000"/>
      </left>
      <right/>
      <top style="thin">
        <color rgb="FFFF0000"/>
      </top>
      <bottom style="thick">
        <color rgb="FFFF0000"/>
      </bottom>
      <diagonal/>
    </border>
    <border>
      <left/>
      <right/>
      <top style="thin">
        <color rgb="FFFF0000"/>
      </top>
      <bottom style="thick">
        <color rgb="FFFF0000"/>
      </bottom>
      <diagonal/>
    </border>
    <border>
      <left/>
      <right style="medium">
        <color rgb="FFFF0000"/>
      </right>
      <top style="thin">
        <color rgb="FFFF0000"/>
      </top>
      <bottom style="thick">
        <color rgb="FFFF0000"/>
      </bottom>
      <diagonal/>
    </border>
    <border>
      <left style="medium">
        <color rgb="FFFF0000"/>
      </left>
      <right style="thin">
        <color rgb="FFFF0000"/>
      </right>
      <top style="thin">
        <color rgb="FFFF0000"/>
      </top>
      <bottom style="thick">
        <color rgb="FFFF0000"/>
      </bottom>
      <diagonal/>
    </border>
    <border>
      <left style="thin">
        <color rgb="FFFF0000"/>
      </left>
      <right style="thin">
        <color rgb="FFFF0000"/>
      </right>
      <top style="thin">
        <color rgb="FFFF0000"/>
      </top>
      <bottom style="thick">
        <color rgb="FFFF0000"/>
      </bottom>
      <diagonal/>
    </border>
    <border>
      <left style="thin">
        <color rgb="FFFF0000"/>
      </left>
      <right style="thick">
        <color rgb="FFFF0000"/>
      </right>
      <top style="thin">
        <color rgb="FFFF0000"/>
      </top>
      <bottom style="thick">
        <color rgb="FFFF0000"/>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right style="thin">
        <color rgb="FF000000"/>
      </right>
      <top/>
      <bottom style="thin">
        <color auto="1"/>
      </bottom>
      <diagonal/>
    </border>
    <border>
      <left style="thin">
        <color rgb="FF000000"/>
      </left>
      <right style="thin">
        <color rgb="FF000000"/>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medium">
        <color theme="3" tint="0.59996337778862885"/>
      </left>
      <right/>
      <top style="medium">
        <color theme="3" tint="0.59996337778862885"/>
      </top>
      <bottom/>
      <diagonal/>
    </border>
    <border>
      <left/>
      <right/>
      <top style="medium">
        <color theme="3" tint="0.59996337778862885"/>
      </top>
      <bottom/>
      <diagonal/>
    </border>
    <border>
      <left/>
      <right style="medium">
        <color theme="3" tint="0.59996337778862885"/>
      </right>
      <top style="medium">
        <color theme="3" tint="0.59996337778862885"/>
      </top>
      <bottom/>
      <diagonal/>
    </border>
    <border>
      <left style="medium">
        <color theme="3" tint="0.59996337778862885"/>
      </left>
      <right/>
      <top/>
      <bottom/>
      <diagonal/>
    </border>
    <border>
      <left/>
      <right style="medium">
        <color theme="3" tint="0.59996337778862885"/>
      </right>
      <top/>
      <bottom/>
      <diagonal/>
    </border>
    <border>
      <left style="medium">
        <color theme="3" tint="0.59996337778862885"/>
      </left>
      <right/>
      <top/>
      <bottom style="medium">
        <color theme="3" tint="0.59996337778862885"/>
      </bottom>
      <diagonal/>
    </border>
    <border>
      <left/>
      <right/>
      <top/>
      <bottom style="medium">
        <color theme="3" tint="0.59996337778862885"/>
      </bottom>
      <diagonal/>
    </border>
    <border>
      <left/>
      <right style="medium">
        <color theme="3" tint="0.59996337778862885"/>
      </right>
      <top/>
      <bottom style="medium">
        <color theme="3" tint="0.59996337778862885"/>
      </bottom>
      <diagonal/>
    </border>
    <border>
      <left/>
      <right/>
      <top/>
      <bottom style="medium">
        <color theme="3" tint="0.39994506668294322"/>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top style="thin">
        <color rgb="FFFF0000"/>
      </top>
      <bottom style="medium">
        <color rgb="FFFF0000"/>
      </bottom>
      <diagonal/>
    </border>
    <border>
      <left style="thin">
        <color rgb="FFFF0000"/>
      </left>
      <right style="medium">
        <color rgb="FFFF0000"/>
      </right>
      <top style="thin">
        <color rgb="FFFF0000"/>
      </top>
      <bottom style="thin">
        <color rgb="FFFF0000"/>
      </bottom>
      <diagonal/>
    </border>
    <border>
      <left style="thin">
        <color rgb="FFFF0000"/>
      </left>
      <right style="medium">
        <color rgb="FFFF0000"/>
      </right>
      <top style="thin">
        <color rgb="FFFF0000"/>
      </top>
      <bottom style="medium">
        <color rgb="FFFF0000"/>
      </bottom>
      <diagonal/>
    </border>
    <border>
      <left style="medium">
        <color rgb="FFFF0000"/>
      </left>
      <right/>
      <top style="thick">
        <color rgb="FFFF0000"/>
      </top>
      <bottom/>
      <diagonal/>
    </border>
    <border>
      <left style="medium">
        <color rgb="FFFF0000"/>
      </left>
      <right/>
      <top style="thin">
        <color rgb="FFFF0000"/>
      </top>
      <bottom style="medium">
        <color rgb="FFFF0000"/>
      </bottom>
      <diagonal/>
    </border>
    <border>
      <left/>
      <right/>
      <top style="thin">
        <color rgb="FFFF0000"/>
      </top>
      <bottom style="medium">
        <color rgb="FFFF0000"/>
      </bottom>
      <diagonal/>
    </border>
    <border>
      <left/>
      <right style="medium">
        <color rgb="FFFF0000"/>
      </right>
      <top style="thin">
        <color rgb="FFFF0000"/>
      </top>
      <bottom style="medium">
        <color rgb="FFFF0000"/>
      </bottom>
      <diagonal/>
    </border>
    <border>
      <left style="thin">
        <color rgb="FF000000"/>
      </left>
      <right/>
      <top style="medium">
        <color auto="1"/>
      </top>
      <bottom/>
      <diagonal/>
    </border>
    <border>
      <left style="thin">
        <color rgb="FF000000"/>
      </left>
      <right/>
      <top/>
      <bottom style="medium">
        <color auto="1"/>
      </bottom>
      <diagonal/>
    </border>
    <border>
      <left/>
      <right style="thin">
        <color rgb="FFFF0000"/>
      </right>
      <top style="thin">
        <color rgb="FFFF0000"/>
      </top>
      <bottom style="thin">
        <color rgb="FFFF0000"/>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theme="5" tint="-0.24994659260841701"/>
      </left>
      <right style="thin">
        <color theme="5" tint="-0.24994659260841701"/>
      </right>
      <top style="thin">
        <color theme="5" tint="-0.24994659260841701"/>
      </top>
      <bottom/>
      <diagonal/>
    </border>
    <border>
      <left style="thin">
        <color theme="5" tint="-0.24994659260841701"/>
      </left>
      <right style="thin">
        <color theme="5" tint="-0.24994659260841701"/>
      </right>
      <top/>
      <bottom style="thin">
        <color theme="5" tint="-0.24994659260841701"/>
      </bottom>
      <diagonal/>
    </border>
    <border>
      <left style="thin">
        <color theme="5" tint="-0.24994659260841701"/>
      </left>
      <right style="thin">
        <color theme="5" tint="-0.24994659260841701"/>
      </right>
      <top/>
      <bottom/>
      <diagonal/>
    </border>
    <border>
      <left style="thin">
        <color theme="5" tint="-0.24994659260841701"/>
      </left>
      <right style="thin">
        <color theme="5" tint="-0.24994659260841701"/>
      </right>
      <top style="medium">
        <color theme="5" tint="-0.24994659260841701"/>
      </top>
      <bottom style="thin">
        <color theme="5" tint="-0.24994659260841701"/>
      </bottom>
      <diagonal/>
    </border>
    <border>
      <left style="medium">
        <color indexed="64"/>
      </left>
      <right style="thin">
        <color indexed="64"/>
      </right>
      <top style="thin">
        <color indexed="64"/>
      </top>
      <bottom/>
      <diagonal/>
    </border>
    <border>
      <left/>
      <right/>
      <top style="thin">
        <color rgb="FF92D050"/>
      </top>
      <bottom/>
      <diagonal/>
    </border>
    <border>
      <left/>
      <right/>
      <top/>
      <bottom style="thin">
        <color rgb="FF92D050"/>
      </bottom>
      <diagonal/>
    </border>
    <border>
      <left/>
      <right style="medium">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thin">
        <color rgb="FF00B050"/>
      </bottom>
      <diagonal/>
    </border>
    <border>
      <left/>
      <right style="thin">
        <color indexed="64"/>
      </right>
      <top style="thin">
        <color rgb="FF00B050"/>
      </top>
      <bottom style="thin">
        <color rgb="FF00B050"/>
      </bottom>
      <diagonal/>
    </border>
    <border>
      <left style="thin">
        <color indexed="64"/>
      </left>
      <right/>
      <top style="thin">
        <color rgb="FF00B050"/>
      </top>
      <bottom style="thin">
        <color rgb="FF00B050"/>
      </bottom>
      <diagonal/>
    </border>
    <border>
      <left/>
      <right/>
      <top/>
      <bottom style="thin">
        <color rgb="FF0070C0"/>
      </bottom>
      <diagonal/>
    </border>
    <border>
      <left/>
      <right/>
      <top style="thin">
        <color rgb="FF0070C0"/>
      </top>
      <bottom style="thin">
        <color rgb="FF00B0F0"/>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96">
    <xf numFmtId="0" fontId="0" fillId="0" borderId="0"/>
    <xf numFmtId="176" fontId="2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applyNumberFormat="0" applyFill="0" applyBorder="0" applyProtection="0">
      <alignment horizontal="right" wrapText="1"/>
    </xf>
    <xf numFmtId="0" fontId="8" fillId="0" borderId="0"/>
    <xf numFmtId="174" fontId="8" fillId="0" borderId="0" applyFont="0" applyFill="0" applyBorder="0" applyAlignment="0" applyProtection="0"/>
    <xf numFmtId="174" fontId="44" fillId="0" borderId="0" applyFont="0" applyFill="0" applyBorder="0" applyAlignment="0" applyProtection="0"/>
    <xf numFmtId="0" fontId="7" fillId="0" borderId="0"/>
    <xf numFmtId="9" fontId="7" fillId="0" borderId="0" applyFont="0" applyFill="0" applyBorder="0" applyAlignment="0" applyProtection="0"/>
    <xf numFmtId="0" fontId="6" fillId="0" borderId="0"/>
    <xf numFmtId="0" fontId="4" fillId="0" borderId="0"/>
    <xf numFmtId="0" fontId="67" fillId="0" borderId="0" applyNumberFormat="0" applyFill="0" applyBorder="0" applyAlignment="0" applyProtection="0"/>
    <xf numFmtId="169" fontId="60" fillId="0" borderId="0" applyFont="0" applyFill="0" applyBorder="0" applyAlignment="0" applyProtection="0"/>
    <xf numFmtId="9" fontId="60" fillId="0" borderId="0" applyFont="0" applyFill="0" applyBorder="0" applyAlignment="0" applyProtection="0"/>
    <xf numFmtId="0" fontId="4" fillId="0" borderId="0"/>
    <xf numFmtId="0" fontId="4" fillId="0" borderId="0"/>
    <xf numFmtId="0" fontId="4" fillId="0" borderId="0"/>
    <xf numFmtId="0" fontId="8" fillId="0" borderId="0"/>
    <xf numFmtId="0" fontId="8" fillId="0" borderId="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0" fontId="16" fillId="0" borderId="0">
      <alignment vertical="center"/>
    </xf>
    <xf numFmtId="0" fontId="16" fillId="0" borderId="0">
      <alignment vertical="center"/>
    </xf>
    <xf numFmtId="0" fontId="16"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9" fontId="8" fillId="0" borderId="0" applyFont="0" applyFill="0" applyBorder="0" applyAlignment="0" applyProtection="0"/>
    <xf numFmtId="0" fontId="2" fillId="0" borderId="0"/>
    <xf numFmtId="0" fontId="16" fillId="0" borderId="0">
      <alignment vertical="center"/>
    </xf>
    <xf numFmtId="0" fontId="1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center"/>
    </xf>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1505">
    <xf numFmtId="0" fontId="0" fillId="0" borderId="0" xfId="0"/>
    <xf numFmtId="0" fontId="10" fillId="0" borderId="10" xfId="0" applyFont="1" applyBorder="1"/>
    <xf numFmtId="43" fontId="0" fillId="0" borderId="0" xfId="0" applyNumberFormat="1"/>
    <xf numFmtId="0" fontId="10" fillId="0" borderId="0" xfId="0" applyFont="1"/>
    <xf numFmtId="0" fontId="10" fillId="0" borderId="9" xfId="0" applyFont="1" applyBorder="1"/>
    <xf numFmtId="0" fontId="0" fillId="0" borderId="10" xfId="0" applyBorder="1"/>
    <xf numFmtId="9" fontId="0" fillId="0" borderId="0" xfId="0" applyNumberFormat="1"/>
    <xf numFmtId="9" fontId="8" fillId="0" borderId="0" xfId="3"/>
    <xf numFmtId="164" fontId="0" fillId="0" borderId="0" xfId="0" applyNumberFormat="1"/>
    <xf numFmtId="0" fontId="0" fillId="0" borderId="0" xfId="0" applyBorder="1"/>
    <xf numFmtId="0" fontId="0" fillId="0" borderId="5" xfId="0" applyBorder="1"/>
    <xf numFmtId="43" fontId="8" fillId="0" borderId="0" xfId="2" applyFont="1"/>
    <xf numFmtId="165" fontId="8" fillId="0" borderId="0" xfId="2" applyNumberFormat="1"/>
    <xf numFmtId="0" fontId="10" fillId="0" borderId="6" xfId="0" applyFont="1" applyBorder="1"/>
    <xf numFmtId="43" fontId="0" fillId="0" borderId="10" xfId="0" applyNumberFormat="1" applyBorder="1"/>
    <xf numFmtId="43" fontId="8" fillId="0" borderId="10" xfId="2" applyBorder="1"/>
    <xf numFmtId="0" fontId="11" fillId="0" borderId="0" xfId="0" applyFont="1"/>
    <xf numFmtId="0" fontId="9" fillId="0" borderId="0" xfId="0" applyFont="1"/>
    <xf numFmtId="0" fontId="0" fillId="0" borderId="37" xfId="0" applyBorder="1"/>
    <xf numFmtId="0" fontId="0" fillId="0" borderId="40" xfId="0" applyBorder="1"/>
    <xf numFmtId="166" fontId="8" fillId="0" borderId="41" xfId="2" applyNumberFormat="1" applyBorder="1"/>
    <xf numFmtId="168" fontId="8" fillId="0" borderId="41" xfId="3" applyNumberFormat="1" applyBorder="1"/>
    <xf numFmtId="168" fontId="8" fillId="0" borderId="42" xfId="3" applyNumberFormat="1" applyBorder="1"/>
    <xf numFmtId="0" fontId="0" fillId="0" borderId="44" xfId="0" applyBorder="1"/>
    <xf numFmtId="166" fontId="8" fillId="0" borderId="45" xfId="2" applyNumberFormat="1" applyBorder="1"/>
    <xf numFmtId="168" fontId="8" fillId="0" borderId="46" xfId="3" applyNumberFormat="1" applyBorder="1"/>
    <xf numFmtId="168" fontId="8" fillId="0" borderId="0" xfId="3" applyNumberFormat="1"/>
    <xf numFmtId="10" fontId="0" fillId="0" borderId="0" xfId="0" applyNumberFormat="1"/>
    <xf numFmtId="165" fontId="22" fillId="0" borderId="6" xfId="2" applyNumberFormat="1" applyFont="1" applyBorder="1" applyAlignment="1">
      <alignment horizontal="center"/>
    </xf>
    <xf numFmtId="165" fontId="8" fillId="0" borderId="49" xfId="2" applyNumberFormat="1" applyBorder="1"/>
    <xf numFmtId="165" fontId="8" fillId="0" borderId="40" xfId="2" applyNumberFormat="1" applyBorder="1"/>
    <xf numFmtId="165" fontId="8" fillId="0" borderId="44" xfId="2" applyNumberFormat="1" applyBorder="1"/>
    <xf numFmtId="168" fontId="8" fillId="0" borderId="52" xfId="3" applyNumberFormat="1" applyBorder="1"/>
    <xf numFmtId="0" fontId="0" fillId="0" borderId="49" xfId="0" applyBorder="1"/>
    <xf numFmtId="166" fontId="8" fillId="0" borderId="50" xfId="2" applyNumberFormat="1" applyBorder="1"/>
    <xf numFmtId="10" fontId="8" fillId="0" borderId="50" xfId="3" applyNumberFormat="1" applyBorder="1"/>
    <xf numFmtId="10" fontId="8" fillId="0" borderId="41" xfId="3" applyNumberFormat="1" applyBorder="1"/>
    <xf numFmtId="168" fontId="8" fillId="0" borderId="0" xfId="3" applyNumberFormat="1" applyBorder="1"/>
    <xf numFmtId="165" fontId="19" fillId="0" borderId="0" xfId="2" applyNumberFormat="1" applyFont="1" applyBorder="1"/>
    <xf numFmtId="168" fontId="0" fillId="0" borderId="0" xfId="0" applyNumberFormat="1"/>
    <xf numFmtId="10" fontId="8" fillId="0" borderId="45" xfId="3" applyNumberFormat="1" applyBorder="1"/>
    <xf numFmtId="10" fontId="0" fillId="0" borderId="10" xfId="0" applyNumberFormat="1" applyBorder="1"/>
    <xf numFmtId="10" fontId="0" fillId="0" borderId="38" xfId="0" applyNumberFormat="1" applyBorder="1"/>
    <xf numFmtId="10" fontId="0" fillId="0" borderId="39" xfId="0" applyNumberFormat="1" applyBorder="1"/>
    <xf numFmtId="10" fontId="0" fillId="0" borderId="41" xfId="0" applyNumberFormat="1" applyBorder="1"/>
    <xf numFmtId="10" fontId="0" fillId="0" borderId="42" xfId="0" applyNumberFormat="1" applyBorder="1"/>
    <xf numFmtId="0" fontId="10" fillId="0" borderId="37" xfId="0" applyFont="1" applyBorder="1" applyAlignment="1">
      <alignment horizontal="center"/>
    </xf>
    <xf numFmtId="10" fontId="10" fillId="0" borderId="38" xfId="0" applyNumberFormat="1" applyFont="1" applyBorder="1"/>
    <xf numFmtId="171" fontId="10" fillId="0" borderId="38" xfId="2" applyNumberFormat="1" applyFont="1" applyBorder="1"/>
    <xf numFmtId="10" fontId="10" fillId="0" borderId="39" xfId="0" applyNumberFormat="1" applyFont="1" applyBorder="1"/>
    <xf numFmtId="0" fontId="10" fillId="3" borderId="9" xfId="0" applyFont="1" applyFill="1" applyBorder="1"/>
    <xf numFmtId="0" fontId="10" fillId="6" borderId="9" xfId="0" applyFont="1" applyFill="1" applyBorder="1"/>
    <xf numFmtId="167" fontId="0" fillId="0" borderId="50" xfId="0" applyNumberFormat="1" applyBorder="1"/>
    <xf numFmtId="167" fontId="0" fillId="3" borderId="50" xfId="0" applyNumberFormat="1" applyFill="1" applyBorder="1"/>
    <xf numFmtId="0" fontId="0" fillId="3" borderId="0" xfId="0" applyFill="1" applyBorder="1"/>
    <xf numFmtId="167" fontId="0" fillId="2" borderId="50" xfId="0" applyNumberFormat="1" applyFill="1" applyBorder="1"/>
    <xf numFmtId="43" fontId="8" fillId="0" borderId="41" xfId="2" applyBorder="1"/>
    <xf numFmtId="0" fontId="0" fillId="0" borderId="0" xfId="0" applyAlignment="1">
      <alignment horizontal="center"/>
    </xf>
    <xf numFmtId="166" fontId="8" fillId="0" borderId="10" xfId="2" applyNumberFormat="1" applyBorder="1"/>
    <xf numFmtId="168" fontId="8" fillId="0" borderId="10" xfId="3" applyNumberFormat="1" applyBorder="1"/>
    <xf numFmtId="10" fontId="0" fillId="0" borderId="10" xfId="0" applyNumberFormat="1" applyBorder="1" applyAlignment="1">
      <alignment horizontal="center"/>
    </xf>
    <xf numFmtId="168" fontId="0" fillId="0" borderId="10" xfId="0" applyNumberFormat="1" applyBorder="1"/>
    <xf numFmtId="168" fontId="0" fillId="0" borderId="10" xfId="0" applyNumberFormat="1" applyBorder="1" applyAlignment="1">
      <alignment horizontal="center"/>
    </xf>
    <xf numFmtId="0" fontId="0" fillId="0" borderId="10" xfId="0" applyBorder="1" applyAlignment="1">
      <alignment horizontal="center"/>
    </xf>
    <xf numFmtId="10" fontId="8" fillId="0" borderId="10" xfId="3" applyNumberFormat="1" applyBorder="1"/>
    <xf numFmtId="0" fontId="0" fillId="0" borderId="10" xfId="0" applyBorder="1" applyAlignment="1">
      <alignment vertical="center" wrapText="1"/>
    </xf>
    <xf numFmtId="0" fontId="10" fillId="0" borderId="10" xfId="0" applyFont="1" applyBorder="1" applyAlignment="1"/>
    <xf numFmtId="10" fontId="10" fillId="0" borderId="10" xfId="0" applyNumberFormat="1" applyFont="1" applyBorder="1"/>
    <xf numFmtId="10" fontId="0" fillId="0" borderId="0" xfId="3" applyNumberFormat="1" applyFont="1"/>
    <xf numFmtId="0" fontId="27" fillId="0" borderId="19" xfId="0" applyFont="1" applyBorder="1" applyAlignment="1" applyProtection="1">
      <alignment horizontal="center" vertical="center" wrapText="1"/>
      <protection locked="0"/>
    </xf>
    <xf numFmtId="0" fontId="27" fillId="0" borderId="19" xfId="0" applyFont="1" applyBorder="1" applyAlignment="1" applyProtection="1">
      <alignment horizontal="center"/>
      <protection locked="0"/>
    </xf>
    <xf numFmtId="0" fontId="26" fillId="0" borderId="37" xfId="0" applyFont="1" applyBorder="1" applyAlignment="1">
      <alignment horizontal="left"/>
    </xf>
    <xf numFmtId="0" fontId="26" fillId="0" borderId="40" xfId="0" applyFont="1" applyBorder="1" applyAlignment="1">
      <alignment horizontal="left"/>
    </xf>
    <xf numFmtId="164" fontId="26" fillId="0" borderId="41" xfId="0" applyNumberFormat="1" applyFont="1" applyBorder="1" applyAlignment="1" applyProtection="1">
      <alignment horizontal="center"/>
      <protection locked="0"/>
    </xf>
    <xf numFmtId="164" fontId="26" fillId="0" borderId="42" xfId="0" applyNumberFormat="1" applyFont="1" applyBorder="1" applyAlignment="1" applyProtection="1">
      <alignment horizontal="center"/>
      <protection locked="0"/>
    </xf>
    <xf numFmtId="164" fontId="26" fillId="0" borderId="41" xfId="0" applyNumberFormat="1" applyFont="1" applyFill="1" applyBorder="1" applyAlignment="1" applyProtection="1">
      <alignment horizontal="center"/>
      <protection locked="0"/>
    </xf>
    <xf numFmtId="164" fontId="26" fillId="0" borderId="42" xfId="0" applyNumberFormat="1" applyFont="1" applyFill="1" applyBorder="1" applyAlignment="1" applyProtection="1">
      <alignment horizontal="center"/>
      <protection locked="0"/>
    </xf>
    <xf numFmtId="0" fontId="27" fillId="0" borderId="18"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27" xfId="0" applyFont="1" applyBorder="1" applyAlignment="1" applyProtection="1">
      <alignment vertical="center" wrapText="1"/>
      <protection locked="0"/>
    </xf>
    <xf numFmtId="0" fontId="27" fillId="0" borderId="27" xfId="0" applyFont="1" applyBorder="1" applyAlignment="1" applyProtection="1">
      <alignment horizontal="center" vertical="center"/>
      <protection locked="0"/>
    </xf>
    <xf numFmtId="0" fontId="27" fillId="0" borderId="20" xfId="0" applyFont="1" applyFill="1" applyBorder="1" applyAlignment="1" applyProtection="1">
      <alignment horizontal="center"/>
      <protection locked="0"/>
    </xf>
    <xf numFmtId="0" fontId="27" fillId="0" borderId="57" xfId="0" applyFont="1" applyFill="1" applyBorder="1" applyProtection="1">
      <protection locked="0"/>
    </xf>
    <xf numFmtId="164" fontId="26" fillId="0" borderId="38" xfId="0" applyNumberFormat="1" applyFont="1" applyFill="1" applyBorder="1" applyAlignment="1" applyProtection="1">
      <alignment horizontal="center"/>
      <protection locked="0"/>
    </xf>
    <xf numFmtId="164" fontId="26" fillId="0" borderId="39" xfId="0" applyNumberFormat="1" applyFont="1" applyFill="1" applyBorder="1" applyAlignment="1" applyProtection="1">
      <alignment horizontal="center"/>
      <protection locked="0"/>
    </xf>
    <xf numFmtId="9" fontId="8" fillId="0" borderId="42" xfId="3" applyBorder="1"/>
    <xf numFmtId="168" fontId="8" fillId="0" borderId="71" xfId="3" applyNumberFormat="1" applyBorder="1"/>
    <xf numFmtId="0" fontId="0" fillId="0" borderId="0" xfId="0" applyAlignment="1">
      <alignment horizontal="left" vertical="center" wrapText="1"/>
    </xf>
    <xf numFmtId="0" fontId="0" fillId="0" borderId="77" xfId="0" applyBorder="1"/>
    <xf numFmtId="168" fontId="8" fillId="0" borderId="45" xfId="3" applyNumberFormat="1" applyBorder="1"/>
    <xf numFmtId="165" fontId="10" fillId="0" borderId="76" xfId="2" applyNumberFormat="1" applyFont="1" applyBorder="1" applyAlignment="1">
      <alignment horizontal="center"/>
    </xf>
    <xf numFmtId="171" fontId="10" fillId="0" borderId="0" xfId="2" applyNumberFormat="1" applyFont="1"/>
    <xf numFmtId="9" fontId="8" fillId="0" borderId="46" xfId="3" applyBorder="1"/>
    <xf numFmtId="0" fontId="0" fillId="0" borderId="72" xfId="0" applyBorder="1"/>
    <xf numFmtId="2" fontId="0" fillId="0" borderId="10" xfId="0" applyNumberFormat="1" applyBorder="1"/>
    <xf numFmtId="0" fontId="23" fillId="0" borderId="10" xfId="0" applyFont="1" applyBorder="1"/>
    <xf numFmtId="0" fontId="23" fillId="0" borderId="0" xfId="0" applyFont="1"/>
    <xf numFmtId="168" fontId="23" fillId="0" borderId="10" xfId="3" applyNumberFormat="1" applyFont="1" applyBorder="1"/>
    <xf numFmtId="0" fontId="23" fillId="0" borderId="10" xfId="0" applyFont="1" applyBorder="1" applyAlignment="1">
      <alignment horizontal="center"/>
    </xf>
    <xf numFmtId="10" fontId="23" fillId="0" borderId="10" xfId="3" applyNumberFormat="1" applyFont="1" applyBorder="1"/>
    <xf numFmtId="0" fontId="10" fillId="0" borderId="30" xfId="0" applyFont="1" applyBorder="1"/>
    <xf numFmtId="0" fontId="0" fillId="0" borderId="83" xfId="0" applyBorder="1"/>
    <xf numFmtId="168" fontId="24" fillId="0" borderId="10" xfId="0" applyNumberFormat="1" applyFont="1" applyBorder="1"/>
    <xf numFmtId="10" fontId="8" fillId="4" borderId="10" xfId="3" applyNumberFormat="1" applyFill="1" applyBorder="1" applyAlignment="1">
      <alignment horizontal="center"/>
    </xf>
    <xf numFmtId="43" fontId="8" fillId="0" borderId="73" xfId="2" applyBorder="1"/>
    <xf numFmtId="43" fontId="8" fillId="3" borderId="73" xfId="2" applyFill="1" applyBorder="1"/>
    <xf numFmtId="165" fontId="0" fillId="2" borderId="73" xfId="0" applyNumberFormat="1" applyFill="1" applyBorder="1"/>
    <xf numFmtId="167" fontId="0" fillId="10" borderId="50" xfId="0" applyNumberFormat="1" applyFill="1" applyBorder="1"/>
    <xf numFmtId="0" fontId="0" fillId="10" borderId="52" xfId="0" applyFill="1" applyBorder="1"/>
    <xf numFmtId="179" fontId="8" fillId="3" borderId="41" xfId="2" applyNumberFormat="1" applyFill="1" applyBorder="1"/>
    <xf numFmtId="165" fontId="8" fillId="0" borderId="85" xfId="2" applyNumberFormat="1" applyBorder="1"/>
    <xf numFmtId="166" fontId="8" fillId="0" borderId="86" xfId="2" applyNumberFormat="1" applyBorder="1"/>
    <xf numFmtId="165" fontId="8" fillId="0" borderId="86" xfId="2" applyNumberFormat="1" applyBorder="1"/>
    <xf numFmtId="168" fontId="8" fillId="0" borderId="82" xfId="3" applyNumberFormat="1" applyBorder="1"/>
    <xf numFmtId="10" fontId="8" fillId="0" borderId="73" xfId="3" applyNumberFormat="1" applyBorder="1"/>
    <xf numFmtId="166" fontId="8" fillId="0" borderId="73" xfId="2" applyNumberFormat="1" applyBorder="1"/>
    <xf numFmtId="166" fontId="8" fillId="0" borderId="75" xfId="2" applyNumberFormat="1" applyBorder="1"/>
    <xf numFmtId="166" fontId="8" fillId="0" borderId="87" xfId="2" applyNumberFormat="1" applyBorder="1"/>
    <xf numFmtId="165" fontId="8" fillId="0" borderId="87" xfId="2" applyNumberFormat="1" applyBorder="1"/>
    <xf numFmtId="164" fontId="26" fillId="0" borderId="71" xfId="0" applyNumberFormat="1" applyFont="1" applyFill="1" applyBorder="1" applyAlignment="1" applyProtection="1">
      <alignment horizontal="center"/>
      <protection locked="0"/>
    </xf>
    <xf numFmtId="173" fontId="0" fillId="0" borderId="0" xfId="0" applyNumberFormat="1"/>
    <xf numFmtId="0" fontId="10" fillId="10" borderId="9" xfId="0" applyFont="1" applyFill="1" applyBorder="1"/>
    <xf numFmtId="0" fontId="0" fillId="0" borderId="18" xfId="0" applyBorder="1"/>
    <xf numFmtId="173" fontId="0" fillId="0" borderId="0" xfId="0" applyNumberFormat="1" applyBorder="1"/>
    <xf numFmtId="0" fontId="0" fillId="0" borderId="85" xfId="0" applyBorder="1"/>
    <xf numFmtId="0" fontId="0" fillId="0" borderId="73" xfId="0" applyBorder="1"/>
    <xf numFmtId="168" fontId="39" fillId="0" borderId="0" xfId="0" applyNumberFormat="1" applyFont="1"/>
    <xf numFmtId="165" fontId="8" fillId="11" borderId="41" xfId="2" applyNumberFormat="1" applyFill="1" applyBorder="1"/>
    <xf numFmtId="43" fontId="8" fillId="10" borderId="94" xfId="2" applyFill="1" applyBorder="1"/>
    <xf numFmtId="43" fontId="8" fillId="10" borderId="95" xfId="2" applyFill="1" applyBorder="1"/>
    <xf numFmtId="43" fontId="8" fillId="10" borderId="17" xfId="2" applyFill="1" applyBorder="1"/>
    <xf numFmtId="181" fontId="8" fillId="10" borderId="94" xfId="2" applyNumberFormat="1" applyFill="1" applyBorder="1"/>
    <xf numFmtId="43" fontId="8" fillId="3" borderId="93" xfId="2" applyFill="1" applyBorder="1"/>
    <xf numFmtId="0" fontId="0" fillId="2" borderId="50" xfId="0" applyFill="1" applyBorder="1"/>
    <xf numFmtId="43" fontId="8" fillId="2" borderId="73" xfId="2" applyFill="1" applyBorder="1"/>
    <xf numFmtId="178" fontId="8" fillId="10" borderId="41" xfId="2" applyNumberFormat="1" applyFill="1" applyBorder="1"/>
    <xf numFmtId="165" fontId="0" fillId="10" borderId="73" xfId="0" applyNumberFormat="1" applyFill="1" applyBorder="1"/>
    <xf numFmtId="0" fontId="10" fillId="3" borderId="10" xfId="0" applyFont="1" applyFill="1" applyBorder="1" applyAlignment="1">
      <alignment horizontal="center"/>
    </xf>
    <xf numFmtId="0" fontId="10" fillId="3" borderId="29" xfId="0" applyFont="1" applyFill="1" applyBorder="1" applyAlignment="1">
      <alignment horizontal="center"/>
    </xf>
    <xf numFmtId="0" fontId="10" fillId="2" borderId="10" xfId="0" applyFont="1" applyFill="1" applyBorder="1" applyAlignment="1">
      <alignment horizontal="center"/>
    </xf>
    <xf numFmtId="0" fontId="10" fillId="2" borderId="10" xfId="0" applyFont="1" applyFill="1" applyBorder="1" applyAlignment="1">
      <alignment horizontal="center" vertical="center" wrapText="1"/>
    </xf>
    <xf numFmtId="0" fontId="10" fillId="10" borderId="10" xfId="0" applyFont="1" applyFill="1" applyBorder="1" applyAlignment="1">
      <alignment horizontal="center"/>
    </xf>
    <xf numFmtId="0" fontId="10" fillId="10" borderId="12" xfId="0" applyFont="1" applyFill="1" applyBorder="1" applyAlignment="1">
      <alignment horizontal="center" vertical="center"/>
    </xf>
    <xf numFmtId="0" fontId="0" fillId="0" borderId="0" xfId="0" applyAlignment="1">
      <alignment horizontal="center"/>
    </xf>
    <xf numFmtId="0" fontId="0" fillId="3" borderId="18" xfId="0" applyFill="1" applyBorder="1"/>
    <xf numFmtId="0" fontId="0" fillId="2" borderId="18" xfId="0" applyFill="1" applyBorder="1"/>
    <xf numFmtId="0" fontId="0" fillId="10" borderId="18" xfId="0" applyFill="1" applyBorder="1"/>
    <xf numFmtId="0" fontId="0" fillId="10" borderId="105" xfId="0" applyFill="1" applyBorder="1"/>
    <xf numFmtId="10" fontId="39" fillId="0" borderId="73" xfId="3" applyNumberFormat="1" applyFont="1" applyBorder="1"/>
    <xf numFmtId="168" fontId="39" fillId="3" borderId="73" xfId="0" applyNumberFormat="1" applyFont="1" applyFill="1" applyBorder="1"/>
    <xf numFmtId="10" fontId="39" fillId="3" borderId="73" xfId="3" applyNumberFormat="1" applyFont="1" applyFill="1" applyBorder="1"/>
    <xf numFmtId="168" fontId="39" fillId="2" borderId="73" xfId="0" applyNumberFormat="1" applyFont="1" applyFill="1" applyBorder="1"/>
    <xf numFmtId="10" fontId="39" fillId="2" borderId="73" xfId="3" applyNumberFormat="1" applyFont="1" applyFill="1" applyBorder="1"/>
    <xf numFmtId="168" fontId="39" fillId="10" borderId="73" xfId="0" applyNumberFormat="1" applyFont="1" applyFill="1" applyBorder="1"/>
    <xf numFmtId="10" fontId="39" fillId="10" borderId="82" xfId="3" applyNumberFormat="1" applyFont="1" applyFill="1" applyBorder="1"/>
    <xf numFmtId="0" fontId="9" fillId="0" borderId="0" xfId="0" applyFont="1" applyBorder="1" applyAlignment="1"/>
    <xf numFmtId="0" fontId="8" fillId="0" borderId="0" xfId="0" applyFont="1"/>
    <xf numFmtId="0" fontId="23" fillId="0" borderId="0" xfId="0" applyFont="1" applyBorder="1"/>
    <xf numFmtId="166" fontId="23" fillId="0" borderId="0" xfId="2" applyNumberFormat="1" applyFont="1" applyBorder="1"/>
    <xf numFmtId="2" fontId="23" fillId="0" borderId="0" xfId="0" applyNumberFormat="1" applyFont="1" applyBorder="1"/>
    <xf numFmtId="43" fontId="23" fillId="0" borderId="0" xfId="0" applyNumberFormat="1" applyFont="1" applyBorder="1"/>
    <xf numFmtId="168" fontId="23" fillId="0" borderId="0" xfId="3" applyNumberFormat="1" applyFont="1" applyBorder="1"/>
    <xf numFmtId="0" fontId="8" fillId="0" borderId="10" xfId="0" applyFont="1" applyBorder="1" applyAlignment="1"/>
    <xf numFmtId="0" fontId="11" fillId="0" borderId="0" xfId="0" applyFont="1" applyAlignment="1">
      <alignment horizontal="left"/>
    </xf>
    <xf numFmtId="0" fontId="10" fillId="0" borderId="0" xfId="0" applyFont="1" applyAlignment="1">
      <alignment horizontal="center"/>
    </xf>
    <xf numFmtId="0" fontId="0" fillId="0" borderId="0" xfId="0" applyAlignment="1">
      <alignment horizontal="center"/>
    </xf>
    <xf numFmtId="0" fontId="10" fillId="0" borderId="0" xfId="0" applyFont="1" applyAlignment="1">
      <alignment horizontal="center" wrapText="1"/>
    </xf>
    <xf numFmtId="10" fontId="0" fillId="0" borderId="70" xfId="0" applyNumberFormat="1" applyBorder="1"/>
    <xf numFmtId="10" fontId="0" fillId="0" borderId="71" xfId="0" applyNumberFormat="1" applyBorder="1"/>
    <xf numFmtId="0" fontId="8" fillId="0" borderId="47" xfId="0" applyFont="1" applyBorder="1"/>
    <xf numFmtId="0" fontId="8" fillId="0" borderId="53" xfId="0" applyFont="1" applyBorder="1"/>
    <xf numFmtId="0" fontId="8" fillId="0" borderId="40" xfId="0" applyFont="1" applyBorder="1"/>
    <xf numFmtId="0" fontId="8" fillId="0" borderId="44" xfId="0" applyFont="1" applyBorder="1"/>
    <xf numFmtId="0" fontId="26" fillId="0" borderId="47" xfId="0" applyFont="1" applyBorder="1" applyAlignment="1">
      <alignment horizontal="left"/>
    </xf>
    <xf numFmtId="164" fontId="26" fillId="0" borderId="70" xfId="0" applyNumberFormat="1" applyFont="1" applyFill="1" applyBorder="1" applyAlignment="1" applyProtection="1">
      <alignment horizontal="center"/>
      <protection locked="0"/>
    </xf>
    <xf numFmtId="168" fontId="8" fillId="0" borderId="0" xfId="3" applyNumberFormat="1" applyBorder="1" applyAlignment="1">
      <alignment horizontal="right"/>
    </xf>
    <xf numFmtId="0" fontId="9" fillId="0" borderId="0" xfId="0" applyFont="1" applyAlignment="1">
      <alignment horizontal="center"/>
    </xf>
    <xf numFmtId="0" fontId="9" fillId="0" borderId="0" xfId="0" applyFont="1" applyAlignment="1"/>
    <xf numFmtId="0" fontId="15" fillId="0" borderId="10" xfId="0" applyFont="1" applyBorder="1" applyAlignment="1">
      <alignment horizontal="center" vertical="center" wrapText="1"/>
    </xf>
    <xf numFmtId="0" fontId="8" fillId="0" borderId="84" xfId="0" applyFont="1" applyBorder="1"/>
    <xf numFmtId="0" fontId="0" fillId="0" borderId="5" xfId="0" applyBorder="1" applyAlignment="1">
      <alignment horizontal="center" vertical="center" wrapText="1"/>
    </xf>
    <xf numFmtId="0" fontId="10" fillId="13" borderId="4" xfId="0" applyFont="1" applyFill="1" applyBorder="1"/>
    <xf numFmtId="0" fontId="22" fillId="13" borderId="5" xfId="0" applyFont="1" applyFill="1" applyBorder="1" applyAlignment="1">
      <alignment horizontal="center"/>
    </xf>
    <xf numFmtId="0" fontId="10" fillId="13" borderId="5" xfId="0" applyFont="1" applyFill="1" applyBorder="1" applyAlignment="1">
      <alignment horizontal="center"/>
    </xf>
    <xf numFmtId="0" fontId="22" fillId="13" borderId="17" xfId="0" applyFont="1" applyFill="1" applyBorder="1" applyAlignment="1">
      <alignment horizontal="center"/>
    </xf>
    <xf numFmtId="0" fontId="10" fillId="13" borderId="0" xfId="0" applyFont="1" applyFill="1"/>
    <xf numFmtId="49" fontId="0" fillId="13" borderId="0" xfId="0" applyNumberFormat="1" applyFill="1"/>
    <xf numFmtId="167" fontId="0" fillId="13" borderId="0" xfId="0" applyNumberFormat="1" applyFill="1"/>
    <xf numFmtId="164" fontId="0" fillId="13" borderId="0" xfId="0" applyNumberFormat="1" applyFill="1"/>
    <xf numFmtId="168" fontId="0" fillId="13" borderId="0" xfId="0" applyNumberFormat="1" applyFill="1"/>
    <xf numFmtId="0" fontId="10" fillId="14" borderId="1" xfId="0" applyFont="1" applyFill="1" applyBorder="1"/>
    <xf numFmtId="0" fontId="10" fillId="14" borderId="2" xfId="0" applyFont="1" applyFill="1" applyBorder="1"/>
    <xf numFmtId="0" fontId="10" fillId="14" borderId="3" xfId="0" applyFont="1" applyFill="1" applyBorder="1"/>
    <xf numFmtId="49" fontId="0" fillId="14" borderId="0" xfId="0" applyNumberFormat="1" applyFill="1"/>
    <xf numFmtId="167" fontId="0" fillId="14" borderId="0" xfId="0" applyNumberFormat="1" applyFill="1"/>
    <xf numFmtId="164" fontId="0" fillId="14" borderId="0" xfId="0" applyNumberFormat="1" applyFill="1"/>
    <xf numFmtId="168" fontId="0" fillId="14" borderId="0" xfId="0" applyNumberFormat="1" applyFill="1"/>
    <xf numFmtId="0" fontId="10" fillId="14" borderId="1" xfId="0" applyFont="1" applyFill="1" applyBorder="1" applyAlignment="1">
      <alignment horizontal="center"/>
    </xf>
    <xf numFmtId="0" fontId="10" fillId="14" borderId="2" xfId="0" applyFont="1" applyFill="1" applyBorder="1" applyAlignment="1">
      <alignment horizontal="center"/>
    </xf>
    <xf numFmtId="0" fontId="10" fillId="14" borderId="3" xfId="0" applyFont="1" applyFill="1" applyBorder="1" applyAlignment="1">
      <alignment horizontal="center"/>
    </xf>
    <xf numFmtId="0" fontId="0" fillId="13" borderId="4" xfId="0" applyFill="1" applyBorder="1"/>
    <xf numFmtId="0" fontId="22" fillId="13" borderId="5" xfId="0" applyFont="1" applyFill="1" applyBorder="1"/>
    <xf numFmtId="0" fontId="22" fillId="13" borderId="17" xfId="0" applyFont="1" applyFill="1" applyBorder="1"/>
    <xf numFmtId="0" fontId="0" fillId="13" borderId="0" xfId="0" applyFill="1"/>
    <xf numFmtId="0" fontId="10" fillId="13" borderId="4" xfId="0" applyFont="1" applyFill="1" applyBorder="1" applyAlignment="1">
      <alignment horizontal="center"/>
    </xf>
    <xf numFmtId="0" fontId="9" fillId="12" borderId="0" xfId="0" applyFont="1" applyFill="1"/>
    <xf numFmtId="0" fontId="0" fillId="12" borderId="0" xfId="0" applyFill="1"/>
    <xf numFmtId="0" fontId="0" fillId="12" borderId="5" xfId="0" applyFill="1" applyBorder="1"/>
    <xf numFmtId="0" fontId="9" fillId="12" borderId="0" xfId="0" applyFont="1" applyFill="1" applyBorder="1" applyAlignment="1"/>
    <xf numFmtId="0" fontId="10" fillId="0" borderId="22" xfId="0" applyFont="1" applyBorder="1" applyAlignment="1">
      <alignment horizontal="center" vertical="center" wrapText="1"/>
    </xf>
    <xf numFmtId="0" fontId="0" fillId="0" borderId="89" xfId="0" applyBorder="1"/>
    <xf numFmtId="0" fontId="11" fillId="0" borderId="2" xfId="0" applyFont="1" applyBorder="1" applyAlignment="1">
      <alignment horizontal="center" vertical="center" wrapText="1"/>
    </xf>
    <xf numFmtId="173" fontId="8" fillId="0" borderId="87" xfId="0" applyNumberFormat="1" applyFont="1" applyFill="1" applyBorder="1" applyAlignment="1">
      <alignment horizontal="center"/>
    </xf>
    <xf numFmtId="173" fontId="8" fillId="0" borderId="86" xfId="0" applyNumberFormat="1" applyFont="1" applyFill="1" applyBorder="1" applyAlignment="1">
      <alignment horizontal="center"/>
    </xf>
    <xf numFmtId="0" fontId="10" fillId="8" borderId="20" xfId="0" applyFont="1" applyFill="1" applyBorder="1" applyAlignment="1">
      <alignment horizontal="center"/>
    </xf>
    <xf numFmtId="0" fontId="10" fillId="0" borderId="20" xfId="0" applyFont="1" applyBorder="1" applyAlignment="1">
      <alignment horizontal="center" vertical="center" wrapText="1"/>
    </xf>
    <xf numFmtId="10" fontId="8" fillId="2" borderId="41" xfId="2" applyNumberFormat="1" applyFill="1" applyBorder="1"/>
    <xf numFmtId="10" fontId="8" fillId="3" borderId="104" xfId="2" applyNumberFormat="1" applyFill="1" applyBorder="1"/>
    <xf numFmtId="10" fontId="8" fillId="0" borderId="41" xfId="2" applyNumberFormat="1" applyBorder="1"/>
    <xf numFmtId="0" fontId="9" fillId="0" borderId="5" xfId="0" applyFont="1" applyBorder="1" applyAlignment="1"/>
    <xf numFmtId="0" fontId="0" fillId="10" borderId="111" xfId="0" applyFill="1" applyBorder="1"/>
    <xf numFmtId="0" fontId="0" fillId="3" borderId="41" xfId="0" applyFill="1" applyBorder="1"/>
    <xf numFmtId="10" fontId="19" fillId="2" borderId="73" xfId="0" applyNumberFormat="1" applyFont="1" applyFill="1" applyBorder="1"/>
    <xf numFmtId="10" fontId="19" fillId="10" borderId="73" xfId="0" applyNumberFormat="1" applyFont="1" applyFill="1" applyBorder="1"/>
    <xf numFmtId="10" fontId="8" fillId="0" borderId="70" xfId="3" applyNumberFormat="1" applyBorder="1" applyAlignment="1">
      <alignment horizontal="right"/>
    </xf>
    <xf numFmtId="0" fontId="6" fillId="0" borderId="0" xfId="10"/>
    <xf numFmtId="0" fontId="6" fillId="0" borderId="2" xfId="10" applyBorder="1"/>
    <xf numFmtId="0" fontId="6" fillId="0" borderId="5" xfId="10" applyBorder="1"/>
    <xf numFmtId="0" fontId="6" fillId="0" borderId="0" xfId="10" applyAlignment="1">
      <alignment horizontal="center" wrapText="1"/>
    </xf>
    <xf numFmtId="3" fontId="6" fillId="0" borderId="0" xfId="10" applyNumberFormat="1" applyAlignment="1">
      <alignment horizontal="right" vertical="center" wrapText="1"/>
    </xf>
    <xf numFmtId="3" fontId="6" fillId="0" borderId="0" xfId="10" applyNumberFormat="1" applyAlignment="1">
      <alignment horizontal="right" vertical="center"/>
    </xf>
    <xf numFmtId="182" fontId="6" fillId="0" borderId="0" xfId="10" applyNumberFormat="1"/>
    <xf numFmtId="0" fontId="6" fillId="0" borderId="113" xfId="10" applyBorder="1"/>
    <xf numFmtId="182" fontId="6" fillId="0" borderId="113" xfId="10" applyNumberFormat="1" applyBorder="1"/>
    <xf numFmtId="0" fontId="6" fillId="0" borderId="0" xfId="10" applyBorder="1" applyAlignment="1">
      <alignment horizontal="center" vertical="center" wrapText="1"/>
    </xf>
    <xf numFmtId="0" fontId="6" fillId="0" borderId="0" xfId="10" applyBorder="1"/>
    <xf numFmtId="0" fontId="57" fillId="0" borderId="0" xfId="10" applyFont="1" applyBorder="1" applyAlignment="1">
      <alignment horizontal="center" vertical="center" wrapText="1"/>
    </xf>
    <xf numFmtId="182" fontId="6" fillId="0" borderId="0" xfId="10" applyNumberFormat="1" applyAlignment="1">
      <alignment horizontal="right" vertical="center" wrapText="1"/>
    </xf>
    <xf numFmtId="0" fontId="8" fillId="0" borderId="0" xfId="5"/>
    <xf numFmtId="0" fontId="8" fillId="0" borderId="0" xfId="5" applyFont="1"/>
    <xf numFmtId="0" fontId="15" fillId="0" borderId="0" xfId="5" applyFont="1"/>
    <xf numFmtId="0" fontId="9" fillId="0" borderId="0" xfId="5" applyFont="1" applyAlignment="1"/>
    <xf numFmtId="0" fontId="5" fillId="0" borderId="0" xfId="10" applyFont="1"/>
    <xf numFmtId="164" fontId="26" fillId="0" borderId="45" xfId="0" applyNumberFormat="1" applyFont="1" applyFill="1" applyBorder="1" applyAlignment="1" applyProtection="1">
      <alignment horizontal="center"/>
      <protection locked="0"/>
    </xf>
    <xf numFmtId="164" fontId="26" fillId="0" borderId="46" xfId="0" applyNumberFormat="1" applyFont="1" applyFill="1" applyBorder="1" applyAlignment="1" applyProtection="1">
      <alignment horizontal="center"/>
      <protection locked="0"/>
    </xf>
    <xf numFmtId="0" fontId="32" fillId="0" borderId="0" xfId="5" applyFont="1" applyAlignment="1">
      <alignment horizontal="center"/>
    </xf>
    <xf numFmtId="0" fontId="8" fillId="0" borderId="2" xfId="5" applyBorder="1"/>
    <xf numFmtId="0" fontId="8" fillId="0" borderId="0" xfId="5" applyBorder="1"/>
    <xf numFmtId="0" fontId="10" fillId="0" borderId="0" xfId="5" applyFont="1" applyBorder="1"/>
    <xf numFmtId="0" fontId="8" fillId="0" borderId="0" xfId="5" applyBorder="1" applyAlignment="1">
      <alignment horizontal="center" vertical="center" textRotation="90" wrapText="1"/>
    </xf>
    <xf numFmtId="0" fontId="8" fillId="0" borderId="27" xfId="5" applyBorder="1"/>
    <xf numFmtId="0" fontId="22" fillId="0" borderId="0" xfId="5" applyFont="1" applyBorder="1"/>
    <xf numFmtId="0" fontId="8" fillId="0" borderId="5" xfId="5" applyBorder="1"/>
    <xf numFmtId="0" fontId="27" fillId="0" borderId="5" xfId="5" applyFont="1" applyBorder="1" applyAlignment="1">
      <alignment horizontal="center"/>
    </xf>
    <xf numFmtId="0" fontId="27" fillId="0" borderId="17" xfId="5" applyFont="1" applyBorder="1" applyAlignment="1">
      <alignment horizontal="center"/>
    </xf>
    <xf numFmtId="0" fontId="19" fillId="0" borderId="0" xfId="5" applyFont="1"/>
    <xf numFmtId="173" fontId="33" fillId="0" borderId="0" xfId="5" applyNumberFormat="1" applyFont="1" applyBorder="1"/>
    <xf numFmtId="0" fontId="15" fillId="0" borderId="0" xfId="5" applyFont="1" applyBorder="1" applyAlignment="1">
      <alignment horizontal="center" vertical="center"/>
    </xf>
    <xf numFmtId="10" fontId="46" fillId="0" borderId="0" xfId="5" applyNumberFormat="1" applyFont="1" applyBorder="1"/>
    <xf numFmtId="0" fontId="15" fillId="0" borderId="114" xfId="5" applyFont="1" applyBorder="1" applyAlignment="1">
      <alignment horizontal="center" vertical="center" textRotation="90" wrapText="1"/>
    </xf>
    <xf numFmtId="173" fontId="8" fillId="0" borderId="0" xfId="5" applyNumberFormat="1"/>
    <xf numFmtId="10" fontId="19" fillId="0" borderId="0" xfId="5" applyNumberFormat="1" applyFont="1"/>
    <xf numFmtId="173" fontId="8" fillId="0" borderId="0" xfId="5" applyNumberFormat="1" applyFont="1"/>
    <xf numFmtId="10" fontId="8" fillId="0" borderId="0" xfId="5" applyNumberFormat="1"/>
    <xf numFmtId="4" fontId="8" fillId="0" borderId="0" xfId="5" applyNumberFormat="1"/>
    <xf numFmtId="2" fontId="8" fillId="0" borderId="0" xfId="5" applyNumberFormat="1"/>
    <xf numFmtId="0" fontId="9" fillId="0" borderId="0" xfId="5" applyFont="1"/>
    <xf numFmtId="0" fontId="15" fillId="0" borderId="0" xfId="5" applyFont="1" applyAlignment="1">
      <alignment horizontal="center"/>
    </xf>
    <xf numFmtId="0" fontId="10" fillId="0" borderId="0" xfId="5" applyFont="1"/>
    <xf numFmtId="0" fontId="8" fillId="0" borderId="0" xfId="5" applyAlignment="1">
      <alignment horizontal="center"/>
    </xf>
    <xf numFmtId="0" fontId="15" fillId="0" borderId="0" xfId="5" applyFont="1" applyAlignment="1">
      <alignment horizontal="right"/>
    </xf>
    <xf numFmtId="10" fontId="35" fillId="0" borderId="0" xfId="5" applyNumberFormat="1" applyFont="1"/>
    <xf numFmtId="2" fontId="10" fillId="0" borderId="0" xfId="5" applyNumberFormat="1" applyFont="1"/>
    <xf numFmtId="0" fontId="12" fillId="0" borderId="0" xfId="5" applyFont="1" applyAlignment="1">
      <alignment horizontal="right"/>
    </xf>
    <xf numFmtId="0" fontId="19" fillId="0" borderId="0" xfId="5" quotePrefix="1" applyFont="1"/>
    <xf numFmtId="0" fontId="8" fillId="0" borderId="0" xfId="5" applyAlignment="1">
      <alignment horizontal="center" wrapText="1"/>
    </xf>
    <xf numFmtId="0" fontId="9" fillId="0" borderId="0" xfId="5" applyFont="1" applyBorder="1" applyAlignment="1">
      <alignment horizontal="center" vertical="center" wrapText="1"/>
    </xf>
    <xf numFmtId="0" fontId="8" fillId="0" borderId="0" xfId="5" applyBorder="1" applyAlignment="1">
      <alignment horizontal="center"/>
    </xf>
    <xf numFmtId="0" fontId="19" fillId="0" borderId="93" xfId="5" applyFont="1" applyBorder="1" applyAlignment="1">
      <alignment horizontal="center"/>
    </xf>
    <xf numFmtId="0" fontId="19" fillId="0" borderId="5" xfId="5" applyFont="1" applyBorder="1" applyAlignment="1">
      <alignment horizontal="center"/>
    </xf>
    <xf numFmtId="0" fontId="19" fillId="0" borderId="85" xfId="5" applyFont="1" applyBorder="1" applyAlignment="1">
      <alignment horizontal="center"/>
    </xf>
    <xf numFmtId="0" fontId="19" fillId="0" borderId="93" xfId="5" applyFont="1" applyBorder="1" applyAlignment="1">
      <alignment horizontal="center" vertical="center" wrapText="1"/>
    </xf>
    <xf numFmtId="0" fontId="19" fillId="0" borderId="17" xfId="5" applyFont="1" applyBorder="1" applyAlignment="1">
      <alignment horizontal="center"/>
    </xf>
    <xf numFmtId="0" fontId="19" fillId="0" borderId="0" xfId="5" applyFont="1" applyBorder="1" applyAlignment="1">
      <alignment horizontal="center"/>
    </xf>
    <xf numFmtId="0" fontId="16" fillId="0" borderId="79" xfId="5" applyFont="1" applyBorder="1" applyAlignment="1">
      <alignment horizontal="center"/>
    </xf>
    <xf numFmtId="0" fontId="19" fillId="0" borderId="84" xfId="5" applyFont="1" applyBorder="1" applyAlignment="1">
      <alignment horizontal="center"/>
    </xf>
    <xf numFmtId="0" fontId="19" fillId="0" borderId="75" xfId="5" applyFont="1" applyBorder="1" applyAlignment="1">
      <alignment horizontal="center"/>
    </xf>
    <xf numFmtId="0" fontId="8" fillId="0" borderId="84" xfId="5" applyBorder="1"/>
    <xf numFmtId="0" fontId="10" fillId="0" borderId="25" xfId="5" applyFont="1" applyBorder="1"/>
    <xf numFmtId="173" fontId="10" fillId="0" borderId="84" xfId="5" applyNumberFormat="1" applyFont="1" applyBorder="1"/>
    <xf numFmtId="173" fontId="10" fillId="0" borderId="0" xfId="5" applyNumberFormat="1" applyFont="1" applyBorder="1"/>
    <xf numFmtId="173" fontId="10" fillId="0" borderId="75" xfId="5" applyNumberFormat="1" applyFont="1" applyBorder="1"/>
    <xf numFmtId="0" fontId="8" fillId="0" borderId="3" xfId="5" applyBorder="1"/>
    <xf numFmtId="0" fontId="8" fillId="0" borderId="25" xfId="5" applyBorder="1"/>
    <xf numFmtId="173" fontId="8" fillId="0" borderId="84" xfId="5" applyNumberFormat="1" applyBorder="1"/>
    <xf numFmtId="173" fontId="8" fillId="0" borderId="0" xfId="5" applyNumberFormat="1" applyBorder="1"/>
    <xf numFmtId="173" fontId="8" fillId="0" borderId="75" xfId="5" applyNumberFormat="1" applyBorder="1"/>
    <xf numFmtId="173" fontId="8" fillId="0" borderId="19" xfId="5" applyNumberFormat="1" applyBorder="1"/>
    <xf numFmtId="173" fontId="8" fillId="0" borderId="27" xfId="5" applyNumberFormat="1" applyBorder="1"/>
    <xf numFmtId="10" fontId="39" fillId="0" borderId="0" xfId="5" applyNumberFormat="1" applyFont="1" applyBorder="1"/>
    <xf numFmtId="173" fontId="8" fillId="0" borderId="84" xfId="5" applyNumberFormat="1" applyFill="1" applyBorder="1"/>
    <xf numFmtId="10" fontId="39" fillId="0" borderId="19" xfId="5" applyNumberFormat="1" applyFont="1" applyBorder="1"/>
    <xf numFmtId="0" fontId="8" fillId="0" borderId="19" xfId="5" applyBorder="1"/>
    <xf numFmtId="10" fontId="8" fillId="0" borderId="0" xfId="5" applyNumberFormat="1" applyBorder="1"/>
    <xf numFmtId="10" fontId="8" fillId="0" borderId="27" xfId="5" applyNumberFormat="1" applyBorder="1"/>
    <xf numFmtId="0" fontId="8" fillId="0" borderId="4" xfId="5" applyBorder="1"/>
    <xf numFmtId="0" fontId="8" fillId="0" borderId="93" xfId="5" applyBorder="1"/>
    <xf numFmtId="0" fontId="8" fillId="0" borderId="85" xfId="5" applyBorder="1"/>
    <xf numFmtId="0" fontId="8" fillId="0" borderId="73" xfId="5" applyBorder="1"/>
    <xf numFmtId="164" fontId="8" fillId="0" borderId="5" xfId="5" applyNumberFormat="1" applyBorder="1"/>
    <xf numFmtId="0" fontId="8" fillId="0" borderId="17" xfId="5" applyBorder="1"/>
    <xf numFmtId="168" fontId="8" fillId="0" borderId="5" xfId="5" applyNumberFormat="1" applyBorder="1"/>
    <xf numFmtId="168" fontId="8" fillId="0" borderId="17" xfId="5" applyNumberFormat="1" applyBorder="1"/>
    <xf numFmtId="0" fontId="22" fillId="0" borderId="0" xfId="5" applyFont="1" applyBorder="1" applyAlignment="1">
      <alignment horizontal="center"/>
    </xf>
    <xf numFmtId="0" fontId="22" fillId="0" borderId="27" xfId="5" applyFont="1" applyBorder="1" applyAlignment="1">
      <alignment horizontal="center"/>
    </xf>
    <xf numFmtId="0" fontId="10" fillId="0" borderId="0" xfId="5" applyFont="1" applyBorder="1" applyAlignment="1">
      <alignment horizontal="center" vertical="center" wrapText="1"/>
    </xf>
    <xf numFmtId="0" fontId="27" fillId="0" borderId="0" xfId="5" applyFont="1" applyBorder="1" applyAlignment="1">
      <alignment horizontal="center"/>
    </xf>
    <xf numFmtId="10" fontId="25" fillId="0" borderId="0" xfId="5" applyNumberFormat="1" applyFont="1" applyBorder="1"/>
    <xf numFmtId="0" fontId="12" fillId="0" borderId="0" xfId="5" applyFont="1"/>
    <xf numFmtId="168" fontId="0" fillId="0" borderId="0" xfId="0" applyNumberFormat="1" applyBorder="1"/>
    <xf numFmtId="0" fontId="0" fillId="0" borderId="75" xfId="0" applyBorder="1"/>
    <xf numFmtId="0" fontId="63" fillId="13" borderId="119" xfId="0" applyFont="1" applyFill="1" applyBorder="1"/>
    <xf numFmtId="0" fontId="63" fillId="13" borderId="120" xfId="0" applyFont="1" applyFill="1" applyBorder="1"/>
    <xf numFmtId="0" fontId="63" fillId="13" borderId="117" xfId="0" applyFont="1" applyFill="1" applyBorder="1"/>
    <xf numFmtId="0" fontId="63" fillId="13" borderId="121" xfId="0" applyFont="1" applyFill="1" applyBorder="1"/>
    <xf numFmtId="0" fontId="0" fillId="13" borderId="123" xfId="0" applyFill="1" applyBorder="1"/>
    <xf numFmtId="0" fontId="0" fillId="13" borderId="132" xfId="0" applyFill="1" applyBorder="1"/>
    <xf numFmtId="0" fontId="0" fillId="13" borderId="0" xfId="0" applyFill="1" applyBorder="1"/>
    <xf numFmtId="0" fontId="27" fillId="13" borderId="125" xfId="0" applyFont="1" applyFill="1" applyBorder="1" applyAlignment="1" applyProtection="1">
      <alignment horizontal="center" vertical="center" wrapText="1"/>
      <protection locked="0"/>
    </xf>
    <xf numFmtId="0" fontId="27" fillId="13" borderId="131" xfId="0" applyFont="1" applyFill="1" applyBorder="1" applyAlignment="1" applyProtection="1">
      <alignment horizontal="center" vertical="center" wrapText="1"/>
      <protection locked="0"/>
    </xf>
    <xf numFmtId="0" fontId="0" fillId="13" borderId="124" xfId="0" applyFill="1" applyBorder="1"/>
    <xf numFmtId="4" fontId="0" fillId="13" borderId="125" xfId="0" applyNumberFormat="1" applyFill="1" applyBorder="1"/>
    <xf numFmtId="4" fontId="0" fillId="13" borderId="131" xfId="0" applyNumberFormat="1" applyFill="1" applyBorder="1"/>
    <xf numFmtId="4" fontId="0" fillId="13" borderId="0" xfId="0" applyNumberFormat="1" applyFill="1" applyBorder="1"/>
    <xf numFmtId="4" fontId="0" fillId="13" borderId="124" xfId="0" applyNumberFormat="1" applyFill="1" applyBorder="1"/>
    <xf numFmtId="183" fontId="0" fillId="13" borderId="0" xfId="0" applyNumberFormat="1" applyFill="1" applyBorder="1"/>
    <xf numFmtId="0" fontId="0" fillId="13" borderId="125" xfId="0" applyFill="1" applyBorder="1"/>
    <xf numFmtId="0" fontId="0" fillId="0" borderId="24" xfId="0" applyBorder="1" applyAlignment="1">
      <alignment horizontal="center"/>
    </xf>
    <xf numFmtId="0" fontId="0" fillId="0" borderId="56" xfId="0" applyBorder="1" applyAlignment="1">
      <alignment horizontal="center"/>
    </xf>
    <xf numFmtId="0" fontId="19" fillId="0" borderId="61" xfId="0" applyFont="1" applyBorder="1" applyAlignment="1">
      <alignment horizontal="center"/>
    </xf>
    <xf numFmtId="0" fontId="19" fillId="0" borderId="79" xfId="0" applyFont="1" applyBorder="1" applyAlignment="1">
      <alignment horizontal="center"/>
    </xf>
    <xf numFmtId="0" fontId="19" fillId="0" borderId="110" xfId="0" applyFont="1" applyBorder="1" applyAlignment="1">
      <alignment horizontal="center"/>
    </xf>
    <xf numFmtId="0" fontId="8" fillId="0" borderId="36" xfId="5" applyBorder="1"/>
    <xf numFmtId="0" fontId="10" fillId="3" borderId="36" xfId="5" applyFont="1" applyFill="1" applyBorder="1" applyAlignment="1">
      <alignment horizontal="center"/>
    </xf>
    <xf numFmtId="0" fontId="10" fillId="0" borderId="0" xfId="5" applyFont="1" applyFill="1" applyBorder="1" applyAlignment="1">
      <alignment horizontal="center"/>
    </xf>
    <xf numFmtId="0" fontId="10" fillId="0" borderId="19" xfId="5" applyFont="1" applyFill="1" applyBorder="1" applyAlignment="1">
      <alignment horizontal="center"/>
    </xf>
    <xf numFmtId="0" fontId="10" fillId="3" borderId="6" xfId="5" applyFont="1" applyFill="1" applyBorder="1" applyAlignment="1">
      <alignment horizontal="center"/>
    </xf>
    <xf numFmtId="0" fontId="8" fillId="0" borderId="7" xfId="5" applyBorder="1"/>
    <xf numFmtId="0" fontId="8" fillId="0" borderId="90" xfId="5" applyBorder="1"/>
    <xf numFmtId="0" fontId="8" fillId="0" borderId="18" xfId="5" applyBorder="1"/>
    <xf numFmtId="0" fontId="8" fillId="0" borderId="8" xfId="5" applyBorder="1"/>
    <xf numFmtId="0" fontId="8" fillId="0" borderId="9" xfId="5" applyBorder="1"/>
    <xf numFmtId="2" fontId="8" fillId="0" borderId="10" xfId="5" applyNumberFormat="1" applyFont="1" applyFill="1" applyBorder="1" applyAlignment="1"/>
    <xf numFmtId="2" fontId="8" fillId="0" borderId="10" xfId="5" applyNumberFormat="1" applyFont="1" applyFill="1" applyBorder="1" applyAlignment="1">
      <alignment horizontal="right"/>
    </xf>
    <xf numFmtId="2" fontId="8" fillId="0" borderId="12" xfId="5" applyNumberFormat="1" applyFont="1" applyFill="1" applyBorder="1" applyAlignment="1">
      <alignment horizontal="right"/>
    </xf>
    <xf numFmtId="0" fontId="8" fillId="0" borderId="9" xfId="5" applyFill="1" applyBorder="1"/>
    <xf numFmtId="0" fontId="8" fillId="0" borderId="9" xfId="19" applyFill="1" applyBorder="1" applyAlignment="1">
      <alignment horizontal="left"/>
    </xf>
    <xf numFmtId="0" fontId="10" fillId="0" borderId="9" xfId="5" applyFont="1" applyFill="1" applyBorder="1" applyAlignment="1">
      <alignment horizontal="center"/>
    </xf>
    <xf numFmtId="2" fontId="10" fillId="0" borderId="10" xfId="5" applyNumberFormat="1" applyFont="1" applyFill="1" applyBorder="1" applyAlignment="1">
      <alignment horizontal="center"/>
    </xf>
    <xf numFmtId="2" fontId="10" fillId="0" borderId="12" xfId="5" applyNumberFormat="1" applyFont="1" applyFill="1" applyBorder="1" applyAlignment="1">
      <alignment horizontal="center"/>
    </xf>
    <xf numFmtId="0" fontId="10" fillId="0" borderId="80" xfId="5" applyFont="1" applyFill="1" applyBorder="1" applyAlignment="1">
      <alignment horizontal="center"/>
    </xf>
    <xf numFmtId="0" fontId="10" fillId="3" borderId="9" xfId="5" applyFont="1" applyFill="1" applyBorder="1" applyAlignment="1">
      <alignment horizontal="center"/>
    </xf>
    <xf numFmtId="0" fontId="8" fillId="0" borderId="9" xfId="5" applyFont="1" applyBorder="1"/>
    <xf numFmtId="0" fontId="8" fillId="0" borderId="9" xfId="5" applyFont="1" applyFill="1" applyBorder="1" applyAlignment="1">
      <alignment vertical="center" wrapText="1"/>
    </xf>
    <xf numFmtId="0" fontId="8" fillId="0" borderId="9" xfId="5" applyFont="1" applyFill="1" applyBorder="1"/>
    <xf numFmtId="2" fontId="24" fillId="0" borderId="10" xfId="5" applyNumberFormat="1" applyFont="1" applyFill="1" applyBorder="1" applyAlignment="1">
      <alignment horizontal="center"/>
    </xf>
    <xf numFmtId="2" fontId="24" fillId="0" borderId="12" xfId="5" applyNumberFormat="1" applyFont="1" applyFill="1" applyBorder="1" applyAlignment="1">
      <alignment horizontal="center"/>
    </xf>
    <xf numFmtId="4" fontId="8" fillId="0" borderId="10" xfId="5" applyNumberFormat="1" applyFill="1" applyBorder="1"/>
    <xf numFmtId="4" fontId="8" fillId="0" borderId="62" xfId="5" applyNumberFormat="1" applyFill="1" applyBorder="1"/>
    <xf numFmtId="4" fontId="8" fillId="0" borderId="12" xfId="5" applyNumberFormat="1" applyFill="1" applyBorder="1"/>
    <xf numFmtId="0" fontId="8" fillId="0" borderId="10" xfId="5" applyBorder="1"/>
    <xf numFmtId="0" fontId="8" fillId="0" borderId="12" xfId="5" applyBorder="1"/>
    <xf numFmtId="2" fontId="8" fillId="0" borderId="10" xfId="5" applyNumberFormat="1" applyFill="1" applyBorder="1"/>
    <xf numFmtId="2" fontId="8" fillId="0" borderId="62" xfId="5" applyNumberFormat="1" applyFill="1" applyBorder="1"/>
    <xf numFmtId="180" fontId="8" fillId="0" borderId="62" xfId="5" applyNumberFormat="1" applyFill="1" applyBorder="1"/>
    <xf numFmtId="180" fontId="8" fillId="0" borderId="10" xfId="5" applyNumberFormat="1" applyFill="1" applyBorder="1"/>
    <xf numFmtId="180" fontId="8" fillId="0" borderId="12" xfId="5" applyNumberFormat="1" applyFill="1" applyBorder="1"/>
    <xf numFmtId="4" fontId="10" fillId="0" borderId="10" xfId="5" applyNumberFormat="1" applyFont="1" applyFill="1" applyBorder="1" applyAlignment="1">
      <alignment horizontal="center"/>
    </xf>
    <xf numFmtId="4" fontId="10" fillId="0" borderId="12" xfId="5" applyNumberFormat="1" applyFont="1" applyFill="1" applyBorder="1" applyAlignment="1">
      <alignment horizontal="center"/>
    </xf>
    <xf numFmtId="0" fontId="8" fillId="0" borderId="10" xfId="5" applyFill="1" applyBorder="1"/>
    <xf numFmtId="184" fontId="8" fillId="0" borderId="0" xfId="5" applyNumberFormat="1"/>
    <xf numFmtId="2" fontId="8" fillId="0" borderId="12" xfId="5" applyNumberFormat="1" applyFill="1" applyBorder="1"/>
    <xf numFmtId="10" fontId="8" fillId="0" borderId="10" xfId="3" applyNumberFormat="1" applyFont="1" applyFill="1" applyBorder="1"/>
    <xf numFmtId="10" fontId="8" fillId="0" borderId="10" xfId="3" applyNumberFormat="1" applyFill="1" applyBorder="1"/>
    <xf numFmtId="10" fontId="8" fillId="0" borderId="12" xfId="3" applyNumberFormat="1" applyFill="1" applyBorder="1"/>
    <xf numFmtId="0" fontId="10" fillId="3" borderId="13" xfId="5" applyFont="1" applyFill="1" applyBorder="1" applyAlignment="1">
      <alignment horizontal="center"/>
    </xf>
    <xf numFmtId="4" fontId="10" fillId="0" borderId="14" xfId="5" applyNumberFormat="1" applyFont="1" applyFill="1" applyBorder="1" applyAlignment="1">
      <alignment horizontal="center"/>
    </xf>
    <xf numFmtId="4" fontId="10" fillId="0" borderId="61" xfId="5" applyNumberFormat="1" applyFont="1" applyFill="1" applyBorder="1" applyAlignment="1">
      <alignment horizontal="center"/>
    </xf>
    <xf numFmtId="4" fontId="10" fillId="0" borderId="79" xfId="5" applyNumberFormat="1" applyFont="1" applyFill="1" applyBorder="1" applyAlignment="1">
      <alignment horizontal="center"/>
    </xf>
    <xf numFmtId="4" fontId="10" fillId="0" borderId="16" xfId="5" applyNumberFormat="1" applyFont="1" applyFill="1" applyBorder="1" applyAlignment="1">
      <alignment horizontal="center"/>
    </xf>
    <xf numFmtId="0" fontId="8" fillId="0" borderId="0" xfId="0" applyFont="1" applyAlignment="1">
      <alignment horizontal="left" vertical="center" wrapText="1"/>
    </xf>
    <xf numFmtId="2" fontId="72" fillId="12" borderId="0" xfId="0" applyNumberFormat="1" applyFont="1" applyFill="1"/>
    <xf numFmtId="0" fontId="0" fillId="3" borderId="19" xfId="0" applyFill="1" applyBorder="1"/>
    <xf numFmtId="0" fontId="0" fillId="2" borderId="19" xfId="0" applyFill="1" applyBorder="1"/>
    <xf numFmtId="0" fontId="0" fillId="10" borderId="19" xfId="0" applyFill="1" applyBorder="1"/>
    <xf numFmtId="0" fontId="0" fillId="10" borderId="81" xfId="0" applyFill="1" applyBorder="1"/>
    <xf numFmtId="173" fontId="0" fillId="3" borderId="19" xfId="0" applyNumberFormat="1" applyFill="1" applyBorder="1"/>
    <xf numFmtId="173" fontId="0" fillId="2" borderId="19" xfId="0" applyNumberFormat="1" applyFill="1" applyBorder="1"/>
    <xf numFmtId="0" fontId="0" fillId="12" borderId="80" xfId="0" applyFill="1" applyBorder="1"/>
    <xf numFmtId="0" fontId="10" fillId="3" borderId="142" xfId="0" applyFont="1" applyFill="1" applyBorder="1" applyAlignment="1">
      <alignment horizontal="center"/>
    </xf>
    <xf numFmtId="0" fontId="10" fillId="3" borderId="143" xfId="0" applyFont="1" applyFill="1" applyBorder="1" applyAlignment="1">
      <alignment horizontal="center"/>
    </xf>
    <xf numFmtId="0" fontId="10" fillId="2" borderId="142" xfId="0" applyFont="1" applyFill="1" applyBorder="1" applyAlignment="1">
      <alignment horizontal="center"/>
    </xf>
    <xf numFmtId="0" fontId="10" fillId="2" borderId="142" xfId="0" applyFont="1" applyFill="1" applyBorder="1" applyAlignment="1">
      <alignment horizontal="center" vertical="center" wrapText="1"/>
    </xf>
    <xf numFmtId="0" fontId="10" fillId="10" borderId="142" xfId="0" applyFont="1" applyFill="1" applyBorder="1" applyAlignment="1">
      <alignment horizontal="center"/>
    </xf>
    <xf numFmtId="0" fontId="10" fillId="10" borderId="147" xfId="0" applyFont="1" applyFill="1" applyBorder="1" applyAlignment="1">
      <alignment horizontal="center" vertical="center"/>
    </xf>
    <xf numFmtId="0" fontId="0" fillId="3" borderId="24" xfId="0" applyFill="1" applyBorder="1"/>
    <xf numFmtId="0" fontId="0" fillId="2" borderId="24" xfId="0" applyFill="1" applyBorder="1"/>
    <xf numFmtId="0" fontId="0" fillId="10" borderId="24" xfId="0" applyFill="1" applyBorder="1"/>
    <xf numFmtId="0" fontId="0" fillId="10" borderId="56" xfId="0" applyFill="1" applyBorder="1"/>
    <xf numFmtId="173" fontId="0" fillId="10" borderId="19" xfId="0" applyNumberFormat="1" applyFill="1" applyBorder="1"/>
    <xf numFmtId="0" fontId="12" fillId="0" borderId="0" xfId="0" applyFont="1"/>
    <xf numFmtId="0" fontId="12" fillId="0" borderId="10" xfId="0" applyFont="1" applyBorder="1" applyAlignment="1">
      <alignment horizontal="center" vertical="center"/>
    </xf>
    <xf numFmtId="0" fontId="8" fillId="0" borderId="10" xfId="0" applyFont="1" applyBorder="1" applyAlignment="1">
      <alignment horizontal="center" vertical="center"/>
    </xf>
    <xf numFmtId="173" fontId="73" fillId="10" borderId="81" xfId="0" applyNumberFormat="1" applyFont="1" applyFill="1" applyBorder="1"/>
    <xf numFmtId="173" fontId="73" fillId="2" borderId="19" xfId="0" applyNumberFormat="1" applyFont="1" applyFill="1" applyBorder="1"/>
    <xf numFmtId="173" fontId="73" fillId="3" borderId="19" xfId="0" applyNumberFormat="1" applyFont="1" applyFill="1" applyBorder="1"/>
    <xf numFmtId="173" fontId="8" fillId="0" borderId="0" xfId="0" applyNumberFormat="1" applyFont="1"/>
    <xf numFmtId="173" fontId="8" fillId="2" borderId="19" xfId="0" applyNumberFormat="1" applyFont="1" applyFill="1" applyBorder="1"/>
    <xf numFmtId="164" fontId="8" fillId="0" borderId="70" xfId="3" applyNumberFormat="1" applyBorder="1" applyAlignment="1">
      <alignment horizontal="right"/>
    </xf>
    <xf numFmtId="0" fontId="19" fillId="0" borderId="0" xfId="0" applyFont="1" applyAlignment="1">
      <alignment horizontal="center" vertical="center" wrapText="1"/>
    </xf>
    <xf numFmtId="0" fontId="10" fillId="0" borderId="10" xfId="0" applyFont="1" applyBorder="1" applyAlignment="1">
      <alignment horizontal="center" vertical="center" wrapText="1"/>
    </xf>
    <xf numFmtId="3" fontId="8" fillId="0" borderId="10" xfId="2" applyNumberFormat="1" applyBorder="1"/>
    <xf numFmtId="4" fontId="0" fillId="0" borderId="0" xfId="0" applyNumberFormat="1"/>
    <xf numFmtId="4" fontId="0" fillId="0" borderId="10" xfId="0" applyNumberFormat="1" applyBorder="1"/>
    <xf numFmtId="10" fontId="12" fillId="0" borderId="0" xfId="0" applyNumberFormat="1" applyFont="1" applyBorder="1"/>
    <xf numFmtId="10" fontId="19" fillId="0" borderId="0" xfId="0" applyNumberFormat="1" applyFont="1" applyBorder="1"/>
    <xf numFmtId="167" fontId="0" fillId="0" borderId="0" xfId="0" applyNumberFormat="1"/>
    <xf numFmtId="10" fontId="63" fillId="0" borderId="10" xfId="3" applyNumberFormat="1" applyFont="1" applyBorder="1"/>
    <xf numFmtId="10" fontId="63" fillId="0" borderId="10" xfId="0" applyNumberFormat="1" applyFont="1" applyBorder="1"/>
    <xf numFmtId="10" fontId="8" fillId="0" borderId="0" xfId="3" applyNumberFormat="1" applyBorder="1"/>
    <xf numFmtId="0" fontId="0" fillId="0" borderId="113" xfId="0" applyBorder="1"/>
    <xf numFmtId="10" fontId="8" fillId="0" borderId="0" xfId="3" applyNumberFormat="1" applyFont="1" applyBorder="1" applyAlignment="1">
      <alignment horizontal="right"/>
    </xf>
    <xf numFmtId="0" fontId="0" fillId="0" borderId="146" xfId="0" applyBorder="1"/>
    <xf numFmtId="0" fontId="10" fillId="0" borderId="146" xfId="0" applyFont="1" applyBorder="1" applyAlignment="1">
      <alignment horizontal="center" vertical="center" wrapText="1"/>
    </xf>
    <xf numFmtId="0" fontId="15" fillId="0" borderId="146" xfId="0" applyFont="1" applyBorder="1" applyAlignment="1">
      <alignment horizontal="center" vertical="center" wrapText="1"/>
    </xf>
    <xf numFmtId="185" fontId="0" fillId="0" borderId="0" xfId="0" applyNumberFormat="1"/>
    <xf numFmtId="10" fontId="63" fillId="0" borderId="10" xfId="0" applyNumberFormat="1" applyFont="1" applyBorder="1" applyAlignment="1">
      <alignment horizontal="center"/>
    </xf>
    <xf numFmtId="168" fontId="63" fillId="0" borderId="10" xfId="0" applyNumberFormat="1" applyFont="1" applyBorder="1"/>
    <xf numFmtId="182" fontId="8" fillId="0" borderId="0" xfId="3" applyNumberFormat="1" applyBorder="1"/>
    <xf numFmtId="2" fontId="0" fillId="0" borderId="0" xfId="0" applyNumberFormat="1" applyBorder="1"/>
    <xf numFmtId="186" fontId="0" fillId="0" borderId="0" xfId="0" applyNumberFormat="1"/>
    <xf numFmtId="0" fontId="15" fillId="0" borderId="0" xfId="5" applyFont="1" applyAlignment="1">
      <alignment horizontal="center" vertical="center" textRotation="90" wrapText="1"/>
    </xf>
    <xf numFmtId="0" fontId="10" fillId="0" borderId="0" xfId="5" applyFont="1" applyAlignment="1">
      <alignment horizontal="center"/>
    </xf>
    <xf numFmtId="0" fontId="8" fillId="0" borderId="75" xfId="5" applyBorder="1"/>
    <xf numFmtId="0" fontId="10" fillId="0" borderId="0" xfId="0" applyFont="1" applyAlignment="1">
      <alignment horizontal="center"/>
    </xf>
    <xf numFmtId="0" fontId="22" fillId="0" borderId="6" xfId="5" applyFont="1" applyBorder="1" applyAlignment="1">
      <alignment horizontal="center"/>
    </xf>
    <xf numFmtId="0" fontId="22" fillId="0" borderId="7" xfId="5" applyFont="1" applyBorder="1" applyAlignment="1">
      <alignment horizontal="center"/>
    </xf>
    <xf numFmtId="0" fontId="22" fillId="0" borderId="8" xfId="5" applyFont="1" applyBorder="1" applyAlignment="1">
      <alignment horizontal="center"/>
    </xf>
    <xf numFmtId="0" fontId="8" fillId="0" borderId="50" xfId="5" applyBorder="1"/>
    <xf numFmtId="0" fontId="8" fillId="0" borderId="40" xfId="5" applyBorder="1"/>
    <xf numFmtId="0" fontId="8" fillId="0" borderId="44" xfId="5" applyBorder="1"/>
    <xf numFmtId="0" fontId="8" fillId="0" borderId="148" xfId="5" applyBorder="1"/>
    <xf numFmtId="166" fontId="8" fillId="0" borderId="149" xfId="2" applyNumberFormat="1" applyBorder="1"/>
    <xf numFmtId="168" fontId="8" fillId="0" borderId="150" xfId="3" applyNumberFormat="1" applyBorder="1"/>
    <xf numFmtId="165" fontId="8" fillId="0" borderId="148" xfId="2" applyNumberFormat="1" applyBorder="1"/>
    <xf numFmtId="10" fontId="8" fillId="0" borderId="149" xfId="3" applyNumberFormat="1" applyBorder="1"/>
    <xf numFmtId="0" fontId="8" fillId="0" borderId="151" xfId="5" applyFont="1" applyBorder="1"/>
    <xf numFmtId="166" fontId="8" fillId="0" borderId="152" xfId="2" applyNumberFormat="1" applyFont="1" applyBorder="1"/>
    <xf numFmtId="165" fontId="10" fillId="0" borderId="151" xfId="2" applyNumberFormat="1" applyFont="1" applyBorder="1"/>
    <xf numFmtId="10" fontId="10" fillId="0" borderId="152" xfId="3" applyNumberFormat="1" applyFont="1" applyBorder="1"/>
    <xf numFmtId="168" fontId="10" fillId="0" borderId="153" xfId="3" applyNumberFormat="1" applyFont="1" applyBorder="1"/>
    <xf numFmtId="0" fontId="8" fillId="0" borderId="49" xfId="5" applyBorder="1"/>
    <xf numFmtId="0" fontId="10" fillId="0" borderId="53" xfId="5" applyFont="1" applyBorder="1"/>
    <xf numFmtId="166" fontId="10" fillId="0" borderId="48" xfId="2" applyNumberFormat="1" applyFont="1" applyBorder="1"/>
    <xf numFmtId="168" fontId="10" fillId="0" borderId="51" xfId="3" applyNumberFormat="1" applyFont="1" applyBorder="1"/>
    <xf numFmtId="165" fontId="10" fillId="0" borderId="53" xfId="2" applyNumberFormat="1" applyFont="1" applyBorder="1"/>
    <xf numFmtId="10" fontId="10" fillId="0" borderId="48" xfId="3" applyNumberFormat="1" applyFont="1" applyBorder="1"/>
    <xf numFmtId="0" fontId="8" fillId="0" borderId="80" xfId="5" applyBorder="1"/>
    <xf numFmtId="0" fontId="8" fillId="0" borderId="72" xfId="5" applyBorder="1"/>
    <xf numFmtId="168" fontId="10" fillId="0" borderId="55" xfId="3" applyNumberFormat="1" applyFont="1" applyBorder="1" applyAlignment="1">
      <alignment horizontal="center"/>
    </xf>
    <xf numFmtId="168" fontId="10" fillId="0" borderId="54" xfId="3" applyNumberFormat="1" applyFont="1" applyBorder="1" applyAlignment="1">
      <alignment horizontal="center"/>
    </xf>
    <xf numFmtId="168" fontId="10" fillId="0" borderId="0" xfId="5" applyNumberFormat="1" applyFont="1"/>
    <xf numFmtId="10" fontId="10" fillId="0" borderId="0" xfId="5" applyNumberFormat="1" applyFont="1"/>
    <xf numFmtId="170" fontId="8" fillId="0" borderId="0" xfId="60" applyNumberFormat="1"/>
    <xf numFmtId="174" fontId="8" fillId="0" borderId="0" xfId="60" applyNumberFormat="1"/>
    <xf numFmtId="170" fontId="10" fillId="0" borderId="36" xfId="60" applyNumberFormat="1" applyFont="1" applyBorder="1" applyAlignment="1">
      <alignment horizontal="center"/>
    </xf>
    <xf numFmtId="174" fontId="10" fillId="0" borderId="0" xfId="60" applyNumberFormat="1" applyFont="1" applyAlignment="1">
      <alignment horizontal="center"/>
    </xf>
    <xf numFmtId="0" fontId="10" fillId="0" borderId="36" xfId="5" applyFont="1" applyBorder="1" applyAlignment="1">
      <alignment horizontal="center"/>
    </xf>
    <xf numFmtId="0" fontId="8" fillId="0" borderId="0" xfId="5" applyFill="1"/>
    <xf numFmtId="0" fontId="37" fillId="6" borderId="88" xfId="5" applyFont="1" applyFill="1" applyBorder="1" applyAlignment="1">
      <alignment horizontal="center" vertical="top"/>
    </xf>
    <xf numFmtId="0" fontId="19" fillId="0" borderId="0" xfId="5" applyFont="1" applyAlignment="1">
      <alignment horizontal="center" vertical="center"/>
    </xf>
    <xf numFmtId="0" fontId="22" fillId="0" borderId="0" xfId="5" applyFont="1" applyFill="1" applyBorder="1" applyAlignment="1">
      <alignment horizontal="center" vertical="center" wrapText="1"/>
    </xf>
    <xf numFmtId="0" fontId="19" fillId="0" borderId="0" xfId="5" applyFont="1" applyFill="1" applyBorder="1" applyAlignment="1">
      <alignment horizontal="center" vertical="center"/>
    </xf>
    <xf numFmtId="0" fontId="10" fillId="7" borderId="0" xfId="5" applyFont="1" applyFill="1" applyBorder="1" applyAlignment="1">
      <alignment horizontal="center" vertical="center" wrapText="1"/>
    </xf>
    <xf numFmtId="0" fontId="10" fillId="0" borderId="0" xfId="5" applyFont="1" applyFill="1" applyBorder="1" applyAlignment="1">
      <alignment horizontal="center" vertical="center" wrapText="1"/>
    </xf>
    <xf numFmtId="0" fontId="8" fillId="0" borderId="14" xfId="5" applyBorder="1"/>
    <xf numFmtId="170" fontId="8" fillId="0" borderId="15" xfId="60" applyNumberFormat="1" applyBorder="1" applyAlignment="1">
      <alignment horizontal="center" wrapText="1"/>
    </xf>
    <xf numFmtId="170" fontId="8" fillId="0" borderId="73" xfId="60" applyNumberFormat="1" applyBorder="1" applyAlignment="1">
      <alignment horizontal="center" wrapText="1"/>
    </xf>
    <xf numFmtId="170" fontId="8" fillId="0" borderId="93" xfId="60" applyNumberFormat="1" applyBorder="1" applyAlignment="1">
      <alignment horizontal="center" wrapText="1"/>
    </xf>
    <xf numFmtId="170" fontId="8" fillId="0" borderId="82" xfId="60" applyNumberFormat="1" applyBorder="1" applyAlignment="1">
      <alignment horizontal="center" wrapText="1"/>
    </xf>
    <xf numFmtId="174" fontId="22" fillId="6" borderId="36" xfId="60" applyNumberFormat="1" applyFont="1" applyFill="1" applyBorder="1" applyAlignment="1">
      <alignment horizontal="center" vertical="center" wrapText="1"/>
    </xf>
    <xf numFmtId="168" fontId="8" fillId="0" borderId="0" xfId="3" applyNumberFormat="1" applyFont="1" applyFill="1"/>
    <xf numFmtId="173" fontId="20" fillId="0" borderId="59" xfId="5" applyNumberFormat="1" applyFont="1" applyBorder="1" applyProtection="1"/>
    <xf numFmtId="173" fontId="20" fillId="0" borderId="74" xfId="5" applyNumberFormat="1" applyFont="1" applyBorder="1" applyProtection="1"/>
    <xf numFmtId="173" fontId="20" fillId="0" borderId="19" xfId="5" applyNumberFormat="1" applyFont="1" applyBorder="1" applyProtection="1"/>
    <xf numFmtId="173" fontId="20" fillId="0" borderId="84" xfId="5" applyNumberFormat="1" applyFont="1" applyBorder="1" applyProtection="1"/>
    <xf numFmtId="173" fontId="20" fillId="0" borderId="81" xfId="5" applyNumberFormat="1" applyFont="1" applyBorder="1" applyProtection="1"/>
    <xf numFmtId="174" fontId="8" fillId="6" borderId="88" xfId="60" applyNumberFormat="1" applyFill="1" applyBorder="1"/>
    <xf numFmtId="174" fontId="8" fillId="3" borderId="60" xfId="60" applyNumberFormat="1" applyFont="1" applyFill="1" applyBorder="1"/>
    <xf numFmtId="174" fontId="8" fillId="0" borderId="60" xfId="60" applyNumberFormat="1" applyFont="1" applyFill="1" applyBorder="1"/>
    <xf numFmtId="174" fontId="8" fillId="0" borderId="0" xfId="60" applyNumberFormat="1" applyFont="1" applyFill="1" applyBorder="1"/>
    <xf numFmtId="168" fontId="8" fillId="0" borderId="0" xfId="3" applyNumberFormat="1" applyFont="1"/>
    <xf numFmtId="0" fontId="10" fillId="8" borderId="14" xfId="5" applyFont="1" applyFill="1" applyBorder="1"/>
    <xf numFmtId="164" fontId="10" fillId="8" borderId="61" xfId="5" applyNumberFormat="1" applyFont="1" applyFill="1" applyBorder="1"/>
    <xf numFmtId="174" fontId="10" fillId="6" borderId="32" xfId="60" applyNumberFormat="1" applyFont="1" applyFill="1" applyBorder="1"/>
    <xf numFmtId="168" fontId="10" fillId="0" borderId="0" xfId="3" applyNumberFormat="1" applyFont="1"/>
    <xf numFmtId="170" fontId="10" fillId="3" borderId="32" xfId="60" applyNumberFormat="1" applyFont="1" applyFill="1" applyBorder="1"/>
    <xf numFmtId="168" fontId="10" fillId="0" borderId="0" xfId="3" applyNumberFormat="1" applyFont="1" applyFill="1"/>
    <xf numFmtId="170" fontId="10" fillId="0" borderId="0" xfId="60" applyNumberFormat="1" applyFont="1" applyFill="1" applyBorder="1"/>
    <xf numFmtId="168" fontId="10" fillId="0" borderId="113" xfId="3" applyNumberFormat="1" applyFont="1" applyBorder="1"/>
    <xf numFmtId="173" fontId="17" fillId="3" borderId="59" xfId="5" applyNumberFormat="1" applyFont="1" applyFill="1" applyBorder="1" applyProtection="1"/>
    <xf numFmtId="173" fontId="17" fillId="3" borderId="74" xfId="5" applyNumberFormat="1" applyFont="1" applyFill="1" applyBorder="1" applyProtection="1"/>
    <xf numFmtId="173" fontId="17" fillId="3" borderId="19" xfId="5" applyNumberFormat="1" applyFont="1" applyFill="1" applyBorder="1" applyProtection="1"/>
    <xf numFmtId="173" fontId="17" fillId="3" borderId="84" xfId="5" applyNumberFormat="1" applyFont="1" applyFill="1" applyBorder="1" applyProtection="1"/>
    <xf numFmtId="173" fontId="17" fillId="3" borderId="81" xfId="5" applyNumberFormat="1" applyFont="1" applyFill="1" applyBorder="1" applyProtection="1"/>
    <xf numFmtId="174" fontId="68" fillId="6" borderId="88" xfId="60" applyNumberFormat="1" applyFont="1" applyFill="1" applyBorder="1"/>
    <xf numFmtId="0" fontId="17" fillId="3" borderId="0" xfId="5" applyFont="1" applyFill="1"/>
    <xf numFmtId="174" fontId="69" fillId="6" borderId="100" xfId="60" applyNumberFormat="1" applyFont="1" applyFill="1" applyBorder="1"/>
    <xf numFmtId="0" fontId="8" fillId="7" borderId="0" xfId="5" applyFill="1"/>
    <xf numFmtId="174" fontId="8" fillId="7" borderId="60" xfId="60" applyNumberFormat="1" applyFont="1" applyFill="1" applyBorder="1"/>
    <xf numFmtId="168" fontId="17" fillId="3" borderId="0" xfId="3" applyNumberFormat="1" applyFont="1" applyFill="1"/>
    <xf numFmtId="173" fontId="10" fillId="8" borderId="14" xfId="5" applyNumberFormat="1" applyFont="1" applyFill="1" applyBorder="1"/>
    <xf numFmtId="164" fontId="10" fillId="8" borderId="14" xfId="5" applyNumberFormat="1" applyFont="1" applyFill="1" applyBorder="1"/>
    <xf numFmtId="168" fontId="8" fillId="0" borderId="0" xfId="3" applyNumberFormat="1" applyFont="1" applyBorder="1"/>
    <xf numFmtId="172" fontId="20" fillId="0" borderId="59" xfId="5" applyNumberFormat="1" applyFont="1" applyBorder="1" applyProtection="1"/>
    <xf numFmtId="172" fontId="20" fillId="0" borderId="74" xfId="5" applyNumberFormat="1" applyFont="1" applyBorder="1" applyProtection="1"/>
    <xf numFmtId="172" fontId="20" fillId="0" borderId="19" xfId="5" applyNumberFormat="1" applyFont="1" applyBorder="1" applyProtection="1"/>
    <xf numFmtId="172" fontId="20" fillId="0" borderId="84" xfId="5" applyNumberFormat="1" applyFont="1" applyBorder="1" applyProtection="1"/>
    <xf numFmtId="172" fontId="20" fillId="0" borderId="81" xfId="5" applyNumberFormat="1" applyFont="1" applyBorder="1" applyProtection="1"/>
    <xf numFmtId="172" fontId="8" fillId="6" borderId="88" xfId="60" applyNumberFormat="1" applyFill="1" applyBorder="1"/>
    <xf numFmtId="0" fontId="10" fillId="8" borderId="61" xfId="5" applyFont="1" applyFill="1" applyBorder="1"/>
    <xf numFmtId="164" fontId="20" fillId="0" borderId="19" xfId="5" applyNumberFormat="1" applyFont="1" applyBorder="1" applyProtection="1"/>
    <xf numFmtId="164" fontId="20" fillId="0" borderId="84" xfId="5" applyNumberFormat="1" applyFont="1" applyBorder="1" applyProtection="1"/>
    <xf numFmtId="164" fontId="20" fillId="0" borderId="81" xfId="5" applyNumberFormat="1" applyFont="1" applyBorder="1" applyProtection="1"/>
    <xf numFmtId="169" fontId="8" fillId="0" borderId="0" xfId="60" applyNumberFormat="1" applyFont="1" applyFill="1" applyBorder="1"/>
    <xf numFmtId="169" fontId="8" fillId="7" borderId="0" xfId="60" applyNumberFormat="1" applyFont="1" applyFill="1" applyBorder="1"/>
    <xf numFmtId="174" fontId="8" fillId="0" borderId="50" xfId="60" applyNumberFormat="1" applyBorder="1"/>
    <xf numFmtId="164" fontId="8" fillId="0" borderId="19" xfId="60" applyNumberFormat="1" applyBorder="1"/>
    <xf numFmtId="164" fontId="8" fillId="0" borderId="84" xfId="60" applyNumberFormat="1" applyBorder="1"/>
    <xf numFmtId="164" fontId="8" fillId="0" borderId="81" xfId="60" applyNumberFormat="1" applyBorder="1"/>
    <xf numFmtId="174" fontId="8" fillId="0" borderId="41" xfId="60" applyNumberFormat="1" applyBorder="1"/>
    <xf numFmtId="174" fontId="8" fillId="8" borderId="53" xfId="60" applyNumberFormat="1" applyFont="1" applyFill="1" applyBorder="1" applyAlignment="1">
      <alignment horizontal="left"/>
    </xf>
    <xf numFmtId="174" fontId="8" fillId="8" borderId="48" xfId="60" applyNumberFormat="1" applyFill="1" applyBorder="1" applyAlignment="1">
      <alignment horizontal="left"/>
    </xf>
    <xf numFmtId="174" fontId="20" fillId="0" borderId="45" xfId="60" applyNumberFormat="1" applyFont="1" applyBorder="1" applyProtection="1"/>
    <xf numFmtId="164" fontId="20" fillId="0" borderId="19" xfId="60" applyNumberFormat="1" applyFont="1" applyBorder="1" applyProtection="1"/>
    <xf numFmtId="164" fontId="20" fillId="0" borderId="84" xfId="60" applyNumberFormat="1" applyFont="1" applyBorder="1" applyProtection="1"/>
    <xf numFmtId="164" fontId="20" fillId="0" borderId="81" xfId="60" applyNumberFormat="1" applyFont="1" applyBorder="1" applyProtection="1"/>
    <xf numFmtId="0" fontId="8" fillId="8" borderId="9" xfId="5" applyFill="1" applyBorder="1" applyAlignment="1">
      <alignment horizontal="left"/>
    </xf>
    <xf numFmtId="0" fontId="8" fillId="8" borderId="21" xfId="5" applyFill="1" applyBorder="1" applyAlignment="1">
      <alignment horizontal="left"/>
    </xf>
    <xf numFmtId="172" fontId="8" fillId="3" borderId="60" xfId="60" applyNumberFormat="1" applyFont="1" applyFill="1" applyBorder="1"/>
    <xf numFmtId="172" fontId="8" fillId="0" borderId="60" xfId="60" applyNumberFormat="1" applyFont="1" applyFill="1" applyBorder="1"/>
    <xf numFmtId="172" fontId="21" fillId="0" borderId="0" xfId="5" applyNumberFormat="1" applyFont="1" applyBorder="1" applyProtection="1"/>
    <xf numFmtId="172" fontId="21" fillId="0" borderId="75" xfId="5" applyNumberFormat="1" applyFont="1" applyBorder="1" applyProtection="1"/>
    <xf numFmtId="172" fontId="21" fillId="0" borderId="19" xfId="5" applyNumberFormat="1" applyFont="1" applyBorder="1" applyProtection="1"/>
    <xf numFmtId="172" fontId="21" fillId="0" borderId="84" xfId="5" applyNumberFormat="1" applyFont="1" applyBorder="1" applyProtection="1"/>
    <xf numFmtId="172" fontId="21" fillId="3" borderId="60" xfId="5" applyNumberFormat="1" applyFont="1" applyFill="1" applyBorder="1" applyProtection="1"/>
    <xf numFmtId="172" fontId="21" fillId="0" borderId="0" xfId="5" applyNumberFormat="1" applyFont="1" applyFill="1" applyBorder="1" applyProtection="1"/>
    <xf numFmtId="0" fontId="18" fillId="8" borderId="13" xfId="5" applyFont="1" applyFill="1" applyBorder="1" applyAlignment="1">
      <alignment horizontal="left"/>
    </xf>
    <xf numFmtId="0" fontId="18" fillId="8" borderId="14" xfId="5" applyFont="1" applyFill="1" applyBorder="1" applyAlignment="1">
      <alignment horizontal="left"/>
    </xf>
    <xf numFmtId="0" fontId="18" fillId="8" borderId="61" xfId="5" applyFont="1" applyFill="1" applyBorder="1" applyAlignment="1">
      <alignment horizontal="left"/>
    </xf>
    <xf numFmtId="172" fontId="18" fillId="8" borderId="14" xfId="5" applyNumberFormat="1" applyFont="1" applyFill="1" applyBorder="1"/>
    <xf numFmtId="172" fontId="18" fillId="8" borderId="61" xfId="5" applyNumberFormat="1" applyFont="1" applyFill="1" applyBorder="1"/>
    <xf numFmtId="174" fontId="18" fillId="6" borderId="32" xfId="60" applyNumberFormat="1" applyFont="1" applyFill="1" applyBorder="1"/>
    <xf numFmtId="168" fontId="18" fillId="0" borderId="0" xfId="3" applyNumberFormat="1" applyFont="1"/>
    <xf numFmtId="170" fontId="18" fillId="3" borderId="32" xfId="60" applyNumberFormat="1" applyFont="1" applyFill="1" applyBorder="1"/>
    <xf numFmtId="170" fontId="18" fillId="0" borderId="0" xfId="60" applyNumberFormat="1" applyFont="1" applyFill="1" applyBorder="1"/>
    <xf numFmtId="170" fontId="8" fillId="0" borderId="0" xfId="60" applyNumberFormat="1" applyBorder="1"/>
    <xf numFmtId="170" fontId="8" fillId="0" borderId="31" xfId="60" applyNumberFormat="1" applyBorder="1"/>
    <xf numFmtId="170" fontId="8" fillId="0" borderId="84" xfId="60" applyNumberFormat="1" applyBorder="1"/>
    <xf numFmtId="170" fontId="8" fillId="0" borderId="60" xfId="60" applyNumberFormat="1" applyBorder="1"/>
    <xf numFmtId="170" fontId="8" fillId="0" borderId="0" xfId="60" applyNumberFormat="1" applyFill="1"/>
    <xf numFmtId="10" fontId="8" fillId="0" borderId="54" xfId="5" applyNumberFormat="1" applyBorder="1"/>
    <xf numFmtId="10" fontId="8" fillId="0" borderId="76" xfId="5" applyNumberFormat="1" applyBorder="1"/>
    <xf numFmtId="10" fontId="8" fillId="0" borderId="31" xfId="5" applyNumberFormat="1" applyBorder="1"/>
    <xf numFmtId="10" fontId="8" fillId="0" borderId="92" xfId="5" applyNumberFormat="1" applyBorder="1"/>
    <xf numFmtId="168" fontId="36" fillId="6" borderId="36" xfId="60" applyNumberFormat="1" applyFont="1" applyFill="1" applyBorder="1"/>
    <xf numFmtId="10" fontId="10" fillId="3" borderId="36" xfId="5" applyNumberFormat="1" applyFont="1" applyFill="1" applyBorder="1"/>
    <xf numFmtId="10" fontId="10" fillId="0" borderId="0" xfId="5" applyNumberFormat="1" applyFont="1" applyFill="1" applyBorder="1"/>
    <xf numFmtId="10" fontId="10" fillId="7" borderId="36" xfId="5" applyNumberFormat="1" applyFont="1" applyFill="1" applyBorder="1" applyAlignment="1">
      <alignment horizontal="center"/>
    </xf>
    <xf numFmtId="10" fontId="10" fillId="0" borderId="0" xfId="5" applyNumberFormat="1" applyFont="1" applyFill="1" applyBorder="1" applyAlignment="1">
      <alignment horizontal="center"/>
    </xf>
    <xf numFmtId="0" fontId="22" fillId="0" borderId="0" xfId="5" applyFont="1"/>
    <xf numFmtId="10" fontId="8" fillId="0" borderId="0" xfId="3" applyNumberFormat="1" applyAlignment="1">
      <alignment horizontal="center"/>
    </xf>
    <xf numFmtId="10" fontId="8" fillId="0" borderId="0" xfId="60" applyNumberFormat="1" applyAlignment="1">
      <alignment horizontal="center"/>
    </xf>
    <xf numFmtId="177" fontId="8" fillId="0" borderId="0" xfId="60" applyNumberFormat="1" applyAlignment="1">
      <alignment horizontal="center"/>
    </xf>
    <xf numFmtId="0" fontId="10" fillId="8" borderId="63" xfId="5" applyFont="1" applyFill="1" applyBorder="1"/>
    <xf numFmtId="0" fontId="8" fillId="8" borderId="64" xfId="5" applyFill="1" applyBorder="1"/>
    <xf numFmtId="0" fontId="8" fillId="0" borderId="64" xfId="5" applyBorder="1"/>
    <xf numFmtId="0" fontId="29" fillId="9" borderId="7" xfId="5" applyFont="1" applyFill="1" applyBorder="1" applyAlignment="1">
      <alignment horizontal="center"/>
    </xf>
    <xf numFmtId="0" fontId="29" fillId="9" borderId="8" xfId="5" applyFont="1" applyFill="1" applyBorder="1" applyAlignment="1">
      <alignment horizontal="center"/>
    </xf>
    <xf numFmtId="175" fontId="8" fillId="0" borderId="0" xfId="60" applyNumberFormat="1" applyAlignment="1">
      <alignment horizontal="center"/>
    </xf>
    <xf numFmtId="0" fontId="10" fillId="8" borderId="65" xfId="5" applyFont="1" applyFill="1" applyBorder="1"/>
    <xf numFmtId="0" fontId="8" fillId="8" borderId="34" xfId="5" applyFill="1" applyBorder="1"/>
    <xf numFmtId="0" fontId="8" fillId="0" borderId="34" xfId="5" applyBorder="1"/>
    <xf numFmtId="164" fontId="8" fillId="0" borderId="0" xfId="3" applyNumberFormat="1"/>
    <xf numFmtId="0" fontId="10" fillId="8" borderId="0" xfId="5" applyFont="1" applyFill="1" applyBorder="1"/>
    <xf numFmtId="0" fontId="10" fillId="0" borderId="141" xfId="5" applyFont="1" applyBorder="1"/>
    <xf numFmtId="2" fontId="8" fillId="0" borderId="0" xfId="60" applyNumberFormat="1"/>
    <xf numFmtId="0" fontId="8" fillId="0" borderId="60" xfId="5" applyFont="1" applyBorder="1"/>
    <xf numFmtId="170" fontId="10" fillId="0" borderId="0" xfId="60" applyNumberFormat="1" applyFont="1"/>
    <xf numFmtId="0" fontId="10" fillId="8" borderId="66" xfId="5" applyFont="1" applyFill="1" applyBorder="1"/>
    <xf numFmtId="0" fontId="30" fillId="8" borderId="112" xfId="5" applyFont="1" applyFill="1" applyBorder="1"/>
    <xf numFmtId="0" fontId="8" fillId="8" borderId="155" xfId="5" applyFill="1" applyBorder="1"/>
    <xf numFmtId="0" fontId="8" fillId="0" borderId="155" xfId="5" applyBorder="1"/>
    <xf numFmtId="181" fontId="21" fillId="0" borderId="14" xfId="60" applyNumberFormat="1" applyFont="1" applyFill="1" applyBorder="1" applyAlignment="1"/>
    <xf numFmtId="181" fontId="21" fillId="0" borderId="16" xfId="60" applyNumberFormat="1" applyFont="1" applyFill="1" applyBorder="1" applyAlignment="1"/>
    <xf numFmtId="0" fontId="30" fillId="8" borderId="25" xfId="5" applyFont="1" applyFill="1" applyBorder="1"/>
    <xf numFmtId="0" fontId="8" fillId="8" borderId="0" xfId="5" applyFill="1" applyBorder="1"/>
    <xf numFmtId="2" fontId="30" fillId="8" borderId="78" xfId="5" applyNumberFormat="1" applyFont="1" applyFill="1" applyBorder="1"/>
    <xf numFmtId="2" fontId="30" fillId="8" borderId="113" xfId="5" applyNumberFormat="1" applyFont="1" applyFill="1" applyBorder="1"/>
    <xf numFmtId="0" fontId="8" fillId="0" borderId="79" xfId="5" applyFont="1" applyBorder="1"/>
    <xf numFmtId="0" fontId="8" fillId="0" borderId="79" xfId="5" applyBorder="1"/>
    <xf numFmtId="2" fontId="10" fillId="2" borderId="16" xfId="5" applyNumberFormat="1" applyFont="1" applyFill="1" applyBorder="1" applyAlignment="1">
      <alignment horizontal="center"/>
    </xf>
    <xf numFmtId="0" fontId="8" fillId="12" borderId="0" xfId="5" applyFont="1" applyFill="1"/>
    <xf numFmtId="10" fontId="19" fillId="12" borderId="96" xfId="5" applyNumberFormat="1" applyFont="1" applyFill="1" applyBorder="1" applyAlignment="1">
      <alignment horizontal="center"/>
    </xf>
    <xf numFmtId="10" fontId="19" fillId="12" borderId="18" xfId="5" applyNumberFormat="1" applyFont="1" applyFill="1" applyBorder="1" applyAlignment="1">
      <alignment horizontal="center"/>
    </xf>
    <xf numFmtId="2" fontId="19" fillId="12" borderId="18" xfId="5" applyNumberFormat="1" applyFont="1" applyFill="1" applyBorder="1" applyAlignment="1">
      <alignment horizontal="center"/>
    </xf>
    <xf numFmtId="10" fontId="19" fillId="12" borderId="1" xfId="5" applyNumberFormat="1" applyFont="1" applyFill="1" applyBorder="1" applyAlignment="1">
      <alignment horizontal="center"/>
    </xf>
    <xf numFmtId="173" fontId="8" fillId="12" borderId="0" xfId="5" applyNumberFormat="1" applyFont="1" applyFill="1" applyBorder="1" applyProtection="1"/>
    <xf numFmtId="10" fontId="19" fillId="12" borderId="84" xfId="5" applyNumberFormat="1" applyFont="1" applyFill="1" applyBorder="1" applyAlignment="1">
      <alignment horizontal="center"/>
    </xf>
    <xf numFmtId="10" fontId="19" fillId="12" borderId="19" xfId="5" applyNumberFormat="1" applyFont="1" applyFill="1" applyBorder="1" applyAlignment="1">
      <alignment horizontal="center"/>
    </xf>
    <xf numFmtId="2" fontId="19" fillId="12" borderId="19" xfId="5" applyNumberFormat="1" applyFont="1" applyFill="1" applyBorder="1" applyAlignment="1">
      <alignment horizontal="center"/>
    </xf>
    <xf numFmtId="10" fontId="19" fillId="12" borderId="0" xfId="5" applyNumberFormat="1" applyFont="1" applyFill="1" applyBorder="1" applyAlignment="1">
      <alignment horizontal="center"/>
    </xf>
    <xf numFmtId="10" fontId="19" fillId="12" borderId="25" xfId="5" applyNumberFormat="1" applyFont="1" applyFill="1" applyBorder="1" applyAlignment="1">
      <alignment horizontal="center"/>
    </xf>
    <xf numFmtId="10" fontId="19" fillId="12" borderId="81" xfId="5" applyNumberFormat="1" applyFont="1" applyFill="1" applyBorder="1" applyAlignment="1">
      <alignment horizontal="center"/>
    </xf>
    <xf numFmtId="10" fontId="22" fillId="12" borderId="84" xfId="5" applyNumberFormat="1" applyFont="1" applyFill="1" applyBorder="1" applyAlignment="1">
      <alignment horizontal="center"/>
    </xf>
    <xf numFmtId="10" fontId="22" fillId="12" borderId="14" xfId="5" applyNumberFormat="1" applyFont="1" applyFill="1" applyBorder="1" applyAlignment="1">
      <alignment horizontal="center"/>
    </xf>
    <xf numFmtId="10" fontId="22" fillId="12" borderId="79" xfId="5" applyNumberFormat="1" applyFont="1" applyFill="1" applyBorder="1" applyAlignment="1">
      <alignment horizontal="center"/>
    </xf>
    <xf numFmtId="10" fontId="22" fillId="12" borderId="25" xfId="5" applyNumberFormat="1" applyFont="1" applyFill="1" applyBorder="1" applyAlignment="1">
      <alignment horizontal="center"/>
    </xf>
    <xf numFmtId="173" fontId="10" fillId="12" borderId="79" xfId="5" applyNumberFormat="1" applyFont="1" applyFill="1" applyBorder="1"/>
    <xf numFmtId="10" fontId="19" fillId="12" borderId="26" xfId="5" applyNumberFormat="1" applyFont="1" applyFill="1" applyBorder="1" applyAlignment="1">
      <alignment horizontal="center"/>
    </xf>
    <xf numFmtId="164" fontId="10" fillId="12" borderId="16" xfId="5" applyNumberFormat="1" applyFont="1" applyFill="1" applyBorder="1"/>
    <xf numFmtId="174" fontId="8" fillId="12" borderId="49" xfId="60" applyNumberFormat="1" applyFont="1" applyFill="1" applyBorder="1"/>
    <xf numFmtId="174" fontId="8" fillId="12" borderId="53" xfId="60" applyNumberFormat="1" applyFont="1" applyFill="1" applyBorder="1" applyAlignment="1">
      <alignment horizontal="left"/>
    </xf>
    <xf numFmtId="173" fontId="10" fillId="12" borderId="14" xfId="5" applyNumberFormat="1" applyFont="1" applyFill="1" applyBorder="1"/>
    <xf numFmtId="0" fontId="10" fillId="12" borderId="0" xfId="5" applyFont="1" applyFill="1" applyAlignment="1">
      <alignment horizontal="right"/>
    </xf>
    <xf numFmtId="10" fontId="22" fillId="12" borderId="0" xfId="5" applyNumberFormat="1" applyFont="1" applyFill="1"/>
    <xf numFmtId="10" fontId="22" fillId="12" borderId="156" xfId="5" applyNumberFormat="1" applyFont="1" applyFill="1" applyBorder="1"/>
    <xf numFmtId="0" fontId="22" fillId="12" borderId="0" xfId="5" applyFont="1" applyFill="1"/>
    <xf numFmtId="0" fontId="8" fillId="12" borderId="0" xfId="5" applyFill="1"/>
    <xf numFmtId="0" fontId="31" fillId="12" borderId="0" xfId="5" applyFont="1" applyFill="1" applyBorder="1" applyAlignment="1">
      <alignment horizontal="center"/>
    </xf>
    <xf numFmtId="0" fontId="8" fillId="12" borderId="25" xfId="5" applyFill="1" applyBorder="1"/>
    <xf numFmtId="0" fontId="8" fillId="12" borderId="0" xfId="5" applyFill="1" applyBorder="1"/>
    <xf numFmtId="0" fontId="8" fillId="12" borderId="0" xfId="5" applyFill="1" applyBorder="1" applyAlignment="1"/>
    <xf numFmtId="0" fontId="8" fillId="12" borderId="27" xfId="5" applyFill="1" applyBorder="1"/>
    <xf numFmtId="173" fontId="20" fillId="12" borderId="2" xfId="5" applyNumberFormat="1" applyFont="1" applyFill="1" applyBorder="1" applyProtection="1"/>
    <xf numFmtId="10" fontId="19" fillId="12" borderId="99" xfId="5" applyNumberFormat="1" applyFont="1" applyFill="1" applyBorder="1" applyAlignment="1">
      <alignment horizontal="center"/>
    </xf>
    <xf numFmtId="173" fontId="8" fillId="12" borderId="81" xfId="5" applyNumberFormat="1" applyFill="1" applyBorder="1" applyAlignment="1"/>
    <xf numFmtId="10" fontId="19" fillId="12" borderId="90" xfId="5" applyNumberFormat="1" applyFont="1" applyFill="1" applyBorder="1" applyAlignment="1">
      <alignment horizontal="center"/>
    </xf>
    <xf numFmtId="10" fontId="19" fillId="12" borderId="105" xfId="5" applyNumberFormat="1" applyFont="1" applyFill="1" applyBorder="1" applyAlignment="1">
      <alignment horizontal="center"/>
    </xf>
    <xf numFmtId="173" fontId="8" fillId="12" borderId="98" xfId="5" applyNumberFormat="1" applyFill="1" applyBorder="1" applyAlignment="1"/>
    <xf numFmtId="10" fontId="19" fillId="12" borderId="8" xfId="5" applyNumberFormat="1" applyFont="1" applyFill="1" applyBorder="1" applyAlignment="1">
      <alignment horizontal="center"/>
    </xf>
    <xf numFmtId="173" fontId="20" fillId="12" borderId="0" xfId="5" applyNumberFormat="1" applyFont="1" applyFill="1" applyBorder="1" applyProtection="1"/>
    <xf numFmtId="10" fontId="19" fillId="12" borderId="113" xfId="5" applyNumberFormat="1" applyFont="1" applyFill="1" applyBorder="1" applyAlignment="1">
      <alignment horizontal="center"/>
    </xf>
    <xf numFmtId="173" fontId="8" fillId="12" borderId="80" xfId="5" applyNumberFormat="1" applyFill="1" applyBorder="1" applyAlignment="1"/>
    <xf numFmtId="10" fontId="22" fillId="12" borderId="93" xfId="5" applyNumberFormat="1" applyFont="1" applyFill="1" applyBorder="1" applyAlignment="1">
      <alignment horizontal="center"/>
    </xf>
    <xf numFmtId="10" fontId="22" fillId="12" borderId="5" xfId="5" applyNumberFormat="1" applyFont="1" applyFill="1" applyBorder="1" applyAlignment="1">
      <alignment horizontal="center"/>
    </xf>
    <xf numFmtId="10" fontId="22" fillId="12" borderId="82" xfId="5" applyNumberFormat="1" applyFont="1" applyFill="1" applyBorder="1" applyAlignment="1">
      <alignment horizontal="center"/>
    </xf>
    <xf numFmtId="10" fontId="22" fillId="12" borderId="4" xfId="5" applyNumberFormat="1" applyFont="1" applyFill="1" applyBorder="1" applyAlignment="1">
      <alignment horizontal="center"/>
    </xf>
    <xf numFmtId="173" fontId="10" fillId="12" borderId="13" xfId="5" applyNumberFormat="1" applyFont="1" applyFill="1" applyBorder="1"/>
    <xf numFmtId="10" fontId="19" fillId="12" borderId="82" xfId="5" applyNumberFormat="1" applyFont="1" applyFill="1" applyBorder="1" applyAlignment="1">
      <alignment horizontal="center"/>
    </xf>
    <xf numFmtId="173" fontId="17" fillId="12" borderId="0" xfId="5" applyNumberFormat="1" applyFont="1" applyFill="1" applyBorder="1" applyProtection="1"/>
    <xf numFmtId="10" fontId="43" fillId="12" borderId="99" xfId="5" applyNumberFormat="1" applyFont="1" applyFill="1" applyBorder="1" applyAlignment="1">
      <alignment horizontal="center"/>
    </xf>
    <xf numFmtId="173" fontId="17" fillId="12" borderId="105" xfId="5" applyNumberFormat="1" applyFont="1" applyFill="1" applyBorder="1" applyProtection="1"/>
    <xf numFmtId="173" fontId="8" fillId="12" borderId="18" xfId="5" applyNumberFormat="1" applyFill="1" applyBorder="1" applyAlignment="1"/>
    <xf numFmtId="10" fontId="19" fillId="12" borderId="103" xfId="5" applyNumberFormat="1" applyFont="1" applyFill="1" applyBorder="1" applyAlignment="1">
      <alignment horizontal="center"/>
    </xf>
    <xf numFmtId="173" fontId="8" fillId="12" borderId="19" xfId="5" applyNumberFormat="1" applyFill="1" applyBorder="1" applyAlignment="1"/>
    <xf numFmtId="10" fontId="19" fillId="12" borderId="75" xfId="5" applyNumberFormat="1" applyFont="1" applyFill="1" applyBorder="1" applyAlignment="1">
      <alignment horizontal="center"/>
    </xf>
    <xf numFmtId="172" fontId="20" fillId="12" borderId="80" xfId="5" applyNumberFormat="1" applyFont="1" applyFill="1" applyBorder="1" applyProtection="1"/>
    <xf numFmtId="174" fontId="8" fillId="12" borderId="107" xfId="60" applyNumberFormat="1" applyFont="1" applyFill="1" applyBorder="1" applyAlignment="1">
      <alignment horizontal="left"/>
    </xf>
    <xf numFmtId="174" fontId="8" fillId="12" borderId="157" xfId="60" applyNumberFormat="1" applyFill="1" applyBorder="1" applyAlignment="1">
      <alignment horizontal="left"/>
    </xf>
    <xf numFmtId="0" fontId="8" fillId="12" borderId="108" xfId="5" applyFill="1" applyBorder="1" applyAlignment="1">
      <alignment horizontal="left"/>
    </xf>
    <xf numFmtId="164" fontId="20" fillId="12" borderId="21" xfId="5" applyNumberFormat="1" applyFont="1" applyFill="1" applyBorder="1" applyProtection="1"/>
    <xf numFmtId="173" fontId="20" fillId="12" borderId="21" xfId="5" applyNumberFormat="1" applyFont="1" applyFill="1" applyBorder="1" applyProtection="1"/>
    <xf numFmtId="10" fontId="19" fillId="12" borderId="5" xfId="5" applyNumberFormat="1" applyFont="1" applyFill="1" applyBorder="1" applyAlignment="1">
      <alignment horizontal="center"/>
    </xf>
    <xf numFmtId="0" fontId="8" fillId="12" borderId="109" xfId="5" applyFill="1" applyBorder="1" applyAlignment="1">
      <alignment horizontal="left"/>
    </xf>
    <xf numFmtId="172" fontId="21" fillId="12" borderId="0" xfId="5" applyNumberFormat="1" applyFont="1" applyFill="1" applyBorder="1" applyProtection="1"/>
    <xf numFmtId="173" fontId="21" fillId="12" borderId="72" xfId="5" applyNumberFormat="1" applyFont="1" applyFill="1" applyBorder="1" applyProtection="1"/>
    <xf numFmtId="0" fontId="18" fillId="12" borderId="78" xfId="5" applyFont="1" applyFill="1" applyBorder="1" applyAlignment="1">
      <alignment horizontal="left"/>
    </xf>
    <xf numFmtId="0" fontId="18" fillId="12" borderId="15" xfId="5" applyFont="1" applyFill="1" applyBorder="1" applyAlignment="1">
      <alignment horizontal="left"/>
    </xf>
    <xf numFmtId="172" fontId="18" fillId="12" borderId="92" xfId="5" applyNumberFormat="1" applyFont="1" applyFill="1" applyBorder="1"/>
    <xf numFmtId="168" fontId="25" fillId="12" borderId="54" xfId="5" applyNumberFormat="1" applyFont="1" applyFill="1" applyBorder="1" applyAlignment="1">
      <alignment horizontal="center"/>
    </xf>
    <xf numFmtId="172" fontId="18" fillId="12" borderId="55" xfId="5" applyNumberFormat="1" applyFont="1" applyFill="1" applyBorder="1"/>
    <xf numFmtId="10" fontId="74" fillId="12" borderId="31" xfId="5" applyNumberFormat="1" applyFont="1" applyFill="1" applyBorder="1" applyAlignment="1">
      <alignment horizontal="center"/>
    </xf>
    <xf numFmtId="10" fontId="19" fillId="12" borderId="55" xfId="5" applyNumberFormat="1" applyFont="1" applyFill="1" applyBorder="1" applyAlignment="1">
      <alignment horizontal="center"/>
    </xf>
    <xf numFmtId="10" fontId="19" fillId="12" borderId="97" xfId="5" applyNumberFormat="1" applyFont="1" applyFill="1" applyBorder="1" applyAlignment="1">
      <alignment horizontal="center"/>
    </xf>
    <xf numFmtId="172" fontId="18" fillId="12" borderId="91" xfId="5" applyNumberFormat="1" applyFont="1" applyFill="1" applyBorder="1"/>
    <xf numFmtId="10" fontId="19" fillId="12" borderId="92" xfId="5" applyNumberFormat="1" applyFont="1" applyFill="1" applyBorder="1" applyAlignment="1">
      <alignment horizontal="center"/>
    </xf>
    <xf numFmtId="170" fontId="8" fillId="12" borderId="0" xfId="60" applyNumberFormat="1" applyFill="1"/>
    <xf numFmtId="10" fontId="8" fillId="12" borderId="0" xfId="5" applyNumberFormat="1" applyFill="1"/>
    <xf numFmtId="172" fontId="24" fillId="12" borderId="36" xfId="5" applyNumberFormat="1" applyFont="1" applyFill="1" applyBorder="1"/>
    <xf numFmtId="164" fontId="8" fillId="12" borderId="0" xfId="5" applyNumberFormat="1" applyFill="1"/>
    <xf numFmtId="0" fontId="10" fillId="12" borderId="0" xfId="5" applyFont="1" applyFill="1" applyBorder="1"/>
    <xf numFmtId="173" fontId="8" fillId="12" borderId="0" xfId="5" applyNumberFormat="1" applyFill="1"/>
    <xf numFmtId="0" fontId="22" fillId="12" borderId="0" xfId="5" quotePrefix="1" applyFont="1" applyFill="1" applyAlignment="1">
      <alignment horizontal="right"/>
    </xf>
    <xf numFmtId="164" fontId="8" fillId="0" borderId="0" xfId="5" applyNumberFormat="1"/>
    <xf numFmtId="164" fontId="75" fillId="0" borderId="0" xfId="5" applyNumberFormat="1" applyFont="1"/>
    <xf numFmtId="0" fontId="45" fillId="0" borderId="0" xfId="5" applyFont="1" applyAlignment="1">
      <alignment horizontal="center"/>
    </xf>
    <xf numFmtId="0" fontId="45" fillId="0" borderId="0" xfId="5" applyFont="1" applyBorder="1" applyAlignment="1">
      <alignment horizontal="center"/>
    </xf>
    <xf numFmtId="173" fontId="34" fillId="0" borderId="115" xfId="5" applyNumberFormat="1" applyFont="1" applyBorder="1"/>
    <xf numFmtId="10" fontId="35" fillId="0" borderId="115" xfId="5" applyNumberFormat="1" applyFont="1" applyBorder="1"/>
    <xf numFmtId="0" fontId="15" fillId="0" borderId="158" xfId="5" applyFont="1" applyBorder="1" applyAlignment="1">
      <alignment horizontal="center" vertical="center" textRotation="90" wrapText="1"/>
    </xf>
    <xf numFmtId="173" fontId="33" fillId="0" borderId="158" xfId="5" applyNumberFormat="1" applyFont="1" applyBorder="1"/>
    <xf numFmtId="0" fontId="8" fillId="0" borderId="158" xfId="5" applyBorder="1"/>
    <xf numFmtId="0" fontId="15" fillId="0" borderId="159" xfId="5" applyFont="1" applyBorder="1" applyAlignment="1">
      <alignment horizontal="center" vertical="center" textRotation="90" wrapText="1"/>
    </xf>
    <xf numFmtId="173" fontId="40" fillId="0" borderId="159" xfId="5" applyNumberFormat="1" applyFont="1" applyBorder="1"/>
    <xf numFmtId="10" fontId="48" fillId="0" borderId="159" xfId="5" applyNumberFormat="1" applyFont="1" applyBorder="1"/>
    <xf numFmtId="0" fontId="8" fillId="0" borderId="159" xfId="5" applyBorder="1"/>
    <xf numFmtId="0" fontId="8" fillId="0" borderId="0" xfId="5" applyFont="1" applyAlignment="1">
      <alignment horizontal="center"/>
    </xf>
    <xf numFmtId="0" fontId="8" fillId="0" borderId="113" xfId="5" applyBorder="1"/>
    <xf numFmtId="173" fontId="8" fillId="0" borderId="113" xfId="5" applyNumberFormat="1" applyBorder="1"/>
    <xf numFmtId="10" fontId="8" fillId="0" borderId="113" xfId="5" applyNumberFormat="1" applyBorder="1"/>
    <xf numFmtId="4" fontId="8" fillId="0" borderId="113" xfId="5" applyNumberFormat="1" applyBorder="1"/>
    <xf numFmtId="2" fontId="8" fillId="0" borderId="113" xfId="5" applyNumberFormat="1" applyBorder="1"/>
    <xf numFmtId="0" fontId="16" fillId="0" borderId="0" xfId="5" quotePrefix="1" applyFont="1"/>
    <xf numFmtId="0" fontId="16" fillId="0" borderId="0" xfId="5" applyFont="1"/>
    <xf numFmtId="0" fontId="19" fillId="0" borderId="5" xfId="5" applyFont="1" applyBorder="1" applyAlignment="1">
      <alignment horizontal="center" vertical="center" wrapText="1"/>
    </xf>
    <xf numFmtId="0" fontId="16" fillId="0" borderId="110" xfId="5" applyFont="1" applyBorder="1" applyAlignment="1">
      <alignment horizontal="center"/>
    </xf>
    <xf numFmtId="0" fontId="19" fillId="0" borderId="19" xfId="5" applyFont="1" applyBorder="1" applyAlignment="1">
      <alignment horizontal="center" vertical="center" wrapText="1"/>
    </xf>
    <xf numFmtId="0" fontId="19" fillId="0" borderId="0" xfId="5" applyFont="1" applyBorder="1" applyAlignment="1">
      <alignment horizontal="center" vertical="center" wrapText="1"/>
    </xf>
    <xf numFmtId="0" fontId="19" fillId="0" borderId="27" xfId="5" applyFont="1" applyBorder="1" applyAlignment="1">
      <alignment horizontal="center"/>
    </xf>
    <xf numFmtId="0" fontId="19" fillId="0" borderId="2" xfId="5" applyFont="1" applyBorder="1" applyAlignment="1">
      <alignment horizontal="center"/>
    </xf>
    <xf numFmtId="0" fontId="16" fillId="0" borderId="2" xfId="5" applyFont="1" applyBorder="1" applyAlignment="1">
      <alignment horizontal="center"/>
    </xf>
    <xf numFmtId="0" fontId="16" fillId="0" borderId="3" xfId="5" applyFont="1" applyBorder="1" applyAlignment="1">
      <alignment horizontal="center"/>
    </xf>
    <xf numFmtId="173" fontId="19" fillId="0" borderId="84" xfId="5" applyNumberFormat="1" applyFont="1" applyBorder="1" applyAlignment="1">
      <alignment horizontal="center"/>
    </xf>
    <xf numFmtId="0" fontId="16" fillId="0" borderId="0" xfId="5" applyFont="1" applyBorder="1" applyAlignment="1">
      <alignment horizontal="center"/>
    </xf>
    <xf numFmtId="0" fontId="16" fillId="0" borderId="27" xfId="5" applyFont="1" applyBorder="1" applyAlignment="1">
      <alignment horizontal="center"/>
    </xf>
    <xf numFmtId="0" fontId="8" fillId="0" borderId="25" xfId="5" applyFont="1" applyBorder="1"/>
    <xf numFmtId="173" fontId="8" fillId="0" borderId="84" xfId="5" applyNumberFormat="1" applyFont="1" applyBorder="1"/>
    <xf numFmtId="173" fontId="8" fillId="0" borderId="0" xfId="5" applyNumberFormat="1" applyFont="1" applyBorder="1"/>
    <xf numFmtId="4" fontId="39" fillId="0" borderId="19" xfId="5" applyNumberFormat="1" applyFont="1" applyBorder="1"/>
    <xf numFmtId="10" fontId="12" fillId="0" borderId="0" xfId="5" applyNumberFormat="1" applyFont="1" applyBorder="1"/>
    <xf numFmtId="0" fontId="52" fillId="0" borderId="160" xfId="5" applyFont="1" applyBorder="1"/>
    <xf numFmtId="173" fontId="8" fillId="0" borderId="161" xfId="5" applyNumberFormat="1" applyBorder="1"/>
    <xf numFmtId="10" fontId="59" fillId="0" borderId="161" xfId="5" applyNumberFormat="1" applyFont="1" applyBorder="1"/>
    <xf numFmtId="10" fontId="59" fillId="0" borderId="162" xfId="5" applyNumberFormat="1" applyFont="1" applyBorder="1"/>
    <xf numFmtId="168" fontId="8" fillId="0" borderId="0" xfId="5" applyNumberFormat="1"/>
    <xf numFmtId="0" fontId="77" fillId="0" borderId="0" xfId="5" applyFont="1" applyAlignment="1">
      <alignment horizontal="left"/>
    </xf>
    <xf numFmtId="0" fontId="8" fillId="0" borderId="0" xfId="5" applyAlignment="1">
      <alignment horizontal="justify"/>
    </xf>
    <xf numFmtId="0" fontId="77" fillId="0" borderId="0" xfId="5" applyFont="1" applyAlignment="1">
      <alignment horizontal="justify"/>
    </xf>
    <xf numFmtId="0" fontId="78" fillId="0" borderId="0" xfId="5" applyFont="1" applyAlignment="1">
      <alignment horizontal="justify"/>
    </xf>
    <xf numFmtId="0" fontId="79" fillId="0" borderId="158" xfId="5" applyFont="1" applyBorder="1" applyAlignment="1">
      <alignment horizontal="center" vertical="center"/>
    </xf>
    <xf numFmtId="10" fontId="25" fillId="0" borderId="158" xfId="5" applyNumberFormat="1" applyFont="1" applyBorder="1"/>
    <xf numFmtId="0" fontId="59" fillId="0" borderId="159" xfId="5" applyFont="1" applyBorder="1"/>
    <xf numFmtId="173" fontId="34" fillId="0" borderId="159" xfId="5" applyNumberFormat="1" applyFont="1" applyBorder="1"/>
    <xf numFmtId="10" fontId="81" fillId="0" borderId="159" xfId="5" applyNumberFormat="1" applyFont="1" applyBorder="1"/>
    <xf numFmtId="0" fontId="59" fillId="0" borderId="114" xfId="5" applyFont="1" applyBorder="1"/>
    <xf numFmtId="173" fontId="34" fillId="0" borderId="114" xfId="5" applyNumberFormat="1" applyFont="1" applyBorder="1"/>
    <xf numFmtId="10" fontId="81" fillId="0" borderId="114" xfId="5" applyNumberFormat="1" applyFont="1" applyBorder="1"/>
    <xf numFmtId="173" fontId="10" fillId="0" borderId="163" xfId="5" applyNumberFormat="1" applyFont="1" applyBorder="1"/>
    <xf numFmtId="0" fontId="8" fillId="0" borderId="164" xfId="5" applyBorder="1"/>
    <xf numFmtId="173" fontId="8" fillId="0" borderId="164" xfId="5" applyNumberFormat="1" applyBorder="1"/>
    <xf numFmtId="2" fontId="8" fillId="0" borderId="164" xfId="5" applyNumberFormat="1" applyBorder="1"/>
    <xf numFmtId="4" fontId="8" fillId="0" borderId="164" xfId="5" applyNumberFormat="1" applyBorder="1"/>
    <xf numFmtId="0" fontId="50" fillId="0" borderId="0" xfId="5" applyFont="1"/>
    <xf numFmtId="0" fontId="50" fillId="0" borderId="0" xfId="5" applyFont="1" applyBorder="1"/>
    <xf numFmtId="0" fontId="47" fillId="0" borderId="0" xfId="5" applyFont="1" applyBorder="1" applyAlignment="1">
      <alignment horizontal="center" vertical="center"/>
    </xf>
    <xf numFmtId="173" fontId="59" fillId="0" borderId="114" xfId="5" applyNumberFormat="1" applyFont="1" applyBorder="1"/>
    <xf numFmtId="0" fontId="8" fillId="0" borderId="127" xfId="5" applyBorder="1"/>
    <xf numFmtId="0" fontId="15" fillId="0" borderId="127" xfId="5" applyFont="1" applyBorder="1" applyAlignment="1">
      <alignment horizontal="center" vertical="center" textRotation="90" wrapText="1"/>
    </xf>
    <xf numFmtId="173" fontId="8" fillId="0" borderId="127" xfId="5" applyNumberFormat="1" applyBorder="1"/>
    <xf numFmtId="10" fontId="19" fillId="0" borderId="127" xfId="5" applyNumberFormat="1" applyFont="1" applyBorder="1"/>
    <xf numFmtId="0" fontId="8" fillId="0" borderId="0" xfId="5" applyAlignment="1">
      <alignment horizontal="right"/>
    </xf>
    <xf numFmtId="0" fontId="8" fillId="0" borderId="67" xfId="5" applyBorder="1"/>
    <xf numFmtId="0" fontId="8" fillId="0" borderId="68" xfId="5" applyBorder="1"/>
    <xf numFmtId="0" fontId="8" fillId="0" borderId="68" xfId="5" applyBorder="1" applyAlignment="1">
      <alignment horizontal="right"/>
    </xf>
    <xf numFmtId="0" fontId="8" fillId="0" borderId="69" xfId="5" applyBorder="1"/>
    <xf numFmtId="0" fontId="8" fillId="0" borderId="41" xfId="5" applyBorder="1"/>
    <xf numFmtId="164" fontId="8" fillId="0" borderId="41" xfId="5" applyNumberFormat="1" applyBorder="1"/>
    <xf numFmtId="0" fontId="8" fillId="0" borderId="42" xfId="5" applyBorder="1"/>
    <xf numFmtId="164" fontId="8" fillId="0" borderId="41" xfId="5" applyNumberFormat="1" applyBorder="1" applyAlignment="1">
      <alignment horizontal="right"/>
    </xf>
    <xf numFmtId="2" fontId="8" fillId="0" borderId="41" xfId="5" applyNumberFormat="1" applyBorder="1" applyAlignment="1">
      <alignment horizontal="right"/>
    </xf>
    <xf numFmtId="164" fontId="8" fillId="0" borderId="45" xfId="5" applyNumberFormat="1" applyBorder="1"/>
    <xf numFmtId="164" fontId="8" fillId="0" borderId="45" xfId="5" applyNumberFormat="1" applyBorder="1" applyAlignment="1">
      <alignment horizontal="right"/>
    </xf>
    <xf numFmtId="2" fontId="8" fillId="0" borderId="45" xfId="5" applyNumberFormat="1" applyBorder="1" applyAlignment="1">
      <alignment horizontal="right"/>
    </xf>
    <xf numFmtId="0" fontId="8" fillId="0" borderId="47" xfId="5" applyBorder="1"/>
    <xf numFmtId="0" fontId="8" fillId="0" borderId="70" xfId="5" applyBorder="1"/>
    <xf numFmtId="0" fontId="8" fillId="0" borderId="70" xfId="5" applyBorder="1" applyAlignment="1">
      <alignment horizontal="right"/>
    </xf>
    <xf numFmtId="2" fontId="8" fillId="0" borderId="70" xfId="5" applyNumberFormat="1" applyBorder="1" applyAlignment="1">
      <alignment horizontal="right"/>
    </xf>
    <xf numFmtId="168" fontId="8" fillId="0" borderId="0" xfId="5" applyNumberFormat="1" applyBorder="1"/>
    <xf numFmtId="0" fontId="8" fillId="0" borderId="0" xfId="5" applyBorder="1" applyAlignment="1">
      <alignment horizontal="right"/>
    </xf>
    <xf numFmtId="2" fontId="8" fillId="0" borderId="0" xfId="5" applyNumberFormat="1" applyBorder="1" applyAlignment="1">
      <alignment horizontal="right"/>
    </xf>
    <xf numFmtId="0" fontId="10" fillId="0" borderId="0" xfId="5" applyFont="1" applyAlignment="1">
      <alignment horizontal="left"/>
    </xf>
    <xf numFmtId="0" fontId="8" fillId="0" borderId="0" xfId="5" applyFont="1" applyAlignment="1">
      <alignment horizontal="left"/>
    </xf>
    <xf numFmtId="0" fontId="8" fillId="0" borderId="0" xfId="5" applyAlignment="1">
      <alignment horizontal="left"/>
    </xf>
    <xf numFmtId="0" fontId="8" fillId="0" borderId="65" xfId="5" applyBorder="1"/>
    <xf numFmtId="0" fontId="8" fillId="0" borderId="66" xfId="5" applyBorder="1"/>
    <xf numFmtId="0" fontId="8" fillId="0" borderId="112" xfId="5" applyBorder="1"/>
    <xf numFmtId="173" fontId="19" fillId="0" borderId="0" xfId="5" applyNumberFormat="1" applyFont="1" applyFill="1"/>
    <xf numFmtId="173" fontId="19" fillId="0" borderId="0" xfId="5" applyNumberFormat="1" applyFont="1" applyFill="1" applyBorder="1"/>
    <xf numFmtId="0" fontId="8" fillId="0" borderId="29" xfId="5" applyBorder="1"/>
    <xf numFmtId="173" fontId="19" fillId="0" borderId="164" xfId="5" applyNumberFormat="1" applyFont="1" applyFill="1" applyBorder="1"/>
    <xf numFmtId="0" fontId="19" fillId="0" borderId="10" xfId="5" applyFont="1" applyBorder="1"/>
    <xf numFmtId="0" fontId="8" fillId="0" borderId="146" xfId="5" applyBorder="1"/>
    <xf numFmtId="9" fontId="8" fillId="0" borderId="29" xfId="5" applyNumberFormat="1" applyBorder="1" applyAlignment="1">
      <alignment horizontal="center" vertical="center" wrapText="1"/>
    </xf>
    <xf numFmtId="173" fontId="19" fillId="0" borderId="10" xfId="5" applyNumberFormat="1" applyFont="1" applyFill="1" applyBorder="1" applyAlignment="1">
      <alignment horizontal="center" vertical="center" wrapText="1"/>
    </xf>
    <xf numFmtId="9" fontId="19" fillId="0" borderId="10" xfId="5" applyNumberFormat="1" applyFont="1" applyBorder="1" applyAlignment="1">
      <alignment horizontal="center" vertical="center" wrapText="1"/>
    </xf>
    <xf numFmtId="0" fontId="19" fillId="0" borderId="10" xfId="5" applyFont="1" applyBorder="1" applyAlignment="1" applyProtection="1">
      <alignment horizontal="center" vertical="center"/>
      <protection locked="0"/>
    </xf>
    <xf numFmtId="9" fontId="19" fillId="0" borderId="146" xfId="5" applyNumberFormat="1" applyFont="1" applyBorder="1" applyAlignment="1">
      <alignment horizontal="center" vertical="center" wrapText="1"/>
    </xf>
    <xf numFmtId="9" fontId="8" fillId="0" borderId="146" xfId="5" applyNumberFormat="1" applyBorder="1" applyAlignment="1">
      <alignment horizontal="center" vertical="center" wrapText="1"/>
    </xf>
    <xf numFmtId="0" fontId="8" fillId="0" borderId="0" xfId="5" applyFont="1" applyAlignment="1">
      <alignment horizontal="center" vertical="center"/>
    </xf>
    <xf numFmtId="0" fontId="19" fillId="0" borderId="0" xfId="5" applyFont="1" applyBorder="1"/>
    <xf numFmtId="173" fontId="19" fillId="0" borderId="0" xfId="5" applyNumberFormat="1" applyFont="1" applyFill="1" applyBorder="1" applyAlignment="1">
      <alignment horizontal="center" vertical="center" wrapText="1"/>
    </xf>
    <xf numFmtId="9" fontId="19" fillId="0" borderId="0" xfId="5" applyNumberFormat="1" applyFont="1" applyBorder="1" applyAlignment="1">
      <alignment horizontal="center" vertical="center" wrapText="1"/>
    </xf>
    <xf numFmtId="0" fontId="19" fillId="0" borderId="0" xfId="5" applyFont="1" applyBorder="1" applyAlignment="1" applyProtection="1">
      <alignment horizontal="center" vertical="center"/>
      <protection locked="0"/>
    </xf>
    <xf numFmtId="9" fontId="8" fillId="0" borderId="0" xfId="5" applyNumberFormat="1" applyBorder="1" applyAlignment="1">
      <alignment horizontal="center" vertical="center" wrapText="1"/>
    </xf>
    <xf numFmtId="0" fontId="8" fillId="0" borderId="33" xfId="5" applyBorder="1"/>
    <xf numFmtId="173" fontId="19" fillId="0" borderId="0" xfId="5" applyNumberFormat="1" applyFont="1" applyFill="1" applyAlignment="1" applyProtection="1">
      <alignment vertical="center"/>
      <protection locked="0"/>
    </xf>
    <xf numFmtId="173" fontId="12" fillId="0" borderId="33" xfId="5" applyNumberFormat="1" applyFont="1" applyBorder="1" applyProtection="1">
      <protection locked="0"/>
    </xf>
    <xf numFmtId="43" fontId="12" fillId="0" borderId="33" xfId="2" applyFont="1" applyBorder="1"/>
    <xf numFmtId="164" fontId="12" fillId="0" borderId="33" xfId="5" applyNumberFormat="1" applyFont="1" applyBorder="1"/>
    <xf numFmtId="2" fontId="12" fillId="0" borderId="33" xfId="3" applyNumberFormat="1" applyFont="1" applyFill="1" applyBorder="1"/>
    <xf numFmtId="43" fontId="12" fillId="0" borderId="33" xfId="2" applyFont="1" applyFill="1" applyBorder="1"/>
    <xf numFmtId="2" fontId="12" fillId="0" borderId="33" xfId="5" applyNumberFormat="1" applyFont="1" applyBorder="1"/>
    <xf numFmtId="0" fontId="12" fillId="0" borderId="33" xfId="5" applyFont="1" applyBorder="1"/>
    <xf numFmtId="2" fontId="12" fillId="0" borderId="34" xfId="3" applyNumberFormat="1" applyFont="1" applyFill="1" applyBorder="1"/>
    <xf numFmtId="168" fontId="12" fillId="0" borderId="34" xfId="3" applyNumberFormat="1" applyFont="1" applyFill="1" applyBorder="1"/>
    <xf numFmtId="43" fontId="12" fillId="0" borderId="34" xfId="2" applyFont="1" applyBorder="1"/>
    <xf numFmtId="2" fontId="12" fillId="0" borderId="34" xfId="5" applyNumberFormat="1" applyFont="1" applyBorder="1"/>
    <xf numFmtId="168" fontId="12" fillId="0" borderId="34" xfId="3" applyNumberFormat="1" applyFont="1" applyBorder="1"/>
    <xf numFmtId="9" fontId="12" fillId="0" borderId="34" xfId="5" applyNumberFormat="1" applyFont="1" applyBorder="1"/>
    <xf numFmtId="9" fontId="12" fillId="0" borderId="0" xfId="3" applyFont="1"/>
    <xf numFmtId="168" fontId="12" fillId="0" borderId="34" xfId="5" applyNumberFormat="1" applyFont="1" applyBorder="1"/>
    <xf numFmtId="43" fontId="12" fillId="6" borderId="34" xfId="2" applyFont="1" applyFill="1" applyBorder="1"/>
    <xf numFmtId="43" fontId="12" fillId="0" borderId="34" xfId="2" applyFont="1" applyFill="1" applyBorder="1"/>
    <xf numFmtId="2" fontId="12" fillId="0" borderId="35" xfId="3" applyNumberFormat="1" applyFont="1" applyFill="1" applyBorder="1"/>
    <xf numFmtId="43" fontId="12" fillId="0" borderId="35" xfId="2" applyFont="1" applyFill="1" applyBorder="1"/>
    <xf numFmtId="2" fontId="12" fillId="0" borderId="35" xfId="5" applyNumberFormat="1" applyFont="1" applyBorder="1"/>
    <xf numFmtId="168" fontId="12" fillId="0" borderId="35" xfId="3" applyNumberFormat="1" applyFont="1" applyBorder="1"/>
    <xf numFmtId="168" fontId="12" fillId="0" borderId="35" xfId="5" applyNumberFormat="1" applyFont="1" applyBorder="1"/>
    <xf numFmtId="9" fontId="12" fillId="0" borderId="164" xfId="3" applyFont="1" applyBorder="1"/>
    <xf numFmtId="168" fontId="12" fillId="0" borderId="33" xfId="3" applyNumberFormat="1" applyFont="1" applyBorder="1"/>
    <xf numFmtId="168" fontId="12" fillId="0" borderId="33" xfId="5" applyNumberFormat="1" applyFont="1" applyBorder="1"/>
    <xf numFmtId="9" fontId="12" fillId="0" borderId="43" xfId="3" applyFont="1" applyBorder="1"/>
    <xf numFmtId="9" fontId="8" fillId="0" borderId="0" xfId="5" applyNumberFormat="1"/>
    <xf numFmtId="9" fontId="12" fillId="0" borderId="34" xfId="3" applyFont="1" applyBorder="1"/>
    <xf numFmtId="9" fontId="12" fillId="0" borderId="35" xfId="3" applyFont="1" applyBorder="1"/>
    <xf numFmtId="168" fontId="12" fillId="0" borderId="0" xfId="3" applyNumberFormat="1" applyFont="1" applyBorder="1"/>
    <xf numFmtId="0" fontId="19" fillId="0" borderId="0" xfId="5" applyFont="1" applyAlignment="1">
      <alignment horizontal="center"/>
    </xf>
    <xf numFmtId="0" fontId="8" fillId="0" borderId="166" xfId="5" applyBorder="1"/>
    <xf numFmtId="0" fontId="8" fillId="0" borderId="167" xfId="5" applyBorder="1"/>
    <xf numFmtId="0" fontId="8" fillId="0" borderId="168" xfId="5" applyBorder="1"/>
    <xf numFmtId="0" fontId="8" fillId="0" borderId="141" xfId="5" applyBorder="1"/>
    <xf numFmtId="0" fontId="8" fillId="0" borderId="169" xfId="5" applyBorder="1"/>
    <xf numFmtId="0" fontId="9" fillId="0" borderId="0" xfId="5" applyFont="1" applyBorder="1"/>
    <xf numFmtId="0" fontId="9" fillId="0" borderId="0" xfId="5" applyFont="1" applyBorder="1" applyAlignment="1">
      <alignment horizontal="center" vertical="center"/>
    </xf>
    <xf numFmtId="0" fontId="9" fillId="0" borderId="0" xfId="5" applyFont="1" applyBorder="1" applyAlignment="1">
      <alignment horizontal="center"/>
    </xf>
    <xf numFmtId="0" fontId="63" fillId="11" borderId="179" xfId="5" applyFont="1" applyFill="1" applyBorder="1" applyAlignment="1">
      <alignment vertical="center"/>
    </xf>
    <xf numFmtId="0" fontId="85" fillId="0" borderId="0" xfId="5" applyFont="1" applyBorder="1"/>
    <xf numFmtId="173" fontId="85" fillId="0" borderId="0" xfId="5" applyNumberFormat="1" applyFont="1" applyBorder="1"/>
    <xf numFmtId="0" fontId="8" fillId="0" borderId="183" xfId="5" applyBorder="1"/>
    <xf numFmtId="0" fontId="8" fillId="0" borderId="184" xfId="5" applyBorder="1"/>
    <xf numFmtId="0" fontId="8" fillId="0" borderId="185" xfId="5" applyBorder="1"/>
    <xf numFmtId="0" fontId="3" fillId="0" borderId="0" xfId="31"/>
    <xf numFmtId="173" fontId="3" fillId="0" borderId="0" xfId="31" applyNumberFormat="1"/>
    <xf numFmtId="168" fontId="87" fillId="0" borderId="0" xfId="31" applyNumberFormat="1" applyFont="1"/>
    <xf numFmtId="0" fontId="9" fillId="12" borderId="0" xfId="0" applyFont="1" applyFill="1" applyBorder="1" applyAlignment="1">
      <alignment horizontal="center"/>
    </xf>
    <xf numFmtId="0" fontId="9" fillId="0" borderId="0" xfId="5" applyFont="1" applyAlignment="1" applyProtection="1">
      <alignment vertical="center"/>
      <protection locked="0"/>
    </xf>
    <xf numFmtId="0" fontId="8" fillId="0" borderId="0" xfId="5" applyBorder="1" applyAlignment="1"/>
    <xf numFmtId="0" fontId="16" fillId="0" borderId="0" xfId="5" applyFont="1" applyAlignment="1" applyProtection="1">
      <alignment horizontal="center" vertical="center" wrapText="1"/>
      <protection locked="0"/>
    </xf>
    <xf numFmtId="0" fontId="8" fillId="0" borderId="0" xfId="5" applyFont="1" applyAlignment="1" applyProtection="1">
      <alignment horizontal="center" vertical="center"/>
      <protection locked="0"/>
    </xf>
    <xf numFmtId="168" fontId="39" fillId="0" borderId="0" xfId="5" applyNumberFormat="1" applyFont="1"/>
    <xf numFmtId="0" fontId="8" fillId="0" borderId="0" xfId="5" applyFont="1" applyFill="1" applyAlignment="1" applyProtection="1">
      <alignment horizontal="center" vertical="center"/>
      <protection locked="0"/>
    </xf>
    <xf numFmtId="0" fontId="19" fillId="0" borderId="0" xfId="5" applyFont="1" applyFill="1" applyAlignment="1" applyProtection="1">
      <alignment horizontal="center" vertical="center" wrapText="1"/>
      <protection locked="0"/>
    </xf>
    <xf numFmtId="183" fontId="0" fillId="13" borderId="132" xfId="0" applyNumberFormat="1" applyFill="1" applyBorder="1" applyAlignment="1">
      <alignment horizontal="center"/>
    </xf>
    <xf numFmtId="0" fontId="10" fillId="0" borderId="0" xfId="0" applyFont="1" applyFill="1" applyAlignment="1">
      <alignment horizontal="center"/>
    </xf>
    <xf numFmtId="0" fontId="10" fillId="12" borderId="0" xfId="0" applyFont="1" applyFill="1" applyAlignment="1"/>
    <xf numFmtId="0" fontId="12" fillId="12" borderId="10" xfId="0" applyFont="1" applyFill="1" applyBorder="1" applyAlignment="1">
      <alignment horizontal="center" vertical="center"/>
    </xf>
    <xf numFmtId="0" fontId="8" fillId="12" borderId="10" xfId="0" applyFont="1" applyFill="1" applyBorder="1" applyAlignment="1">
      <alignment horizontal="center" vertical="center"/>
    </xf>
    <xf numFmtId="0" fontId="8" fillId="12" borderId="0" xfId="0" applyFont="1" applyFill="1" applyAlignment="1">
      <alignment horizontal="center"/>
    </xf>
    <xf numFmtId="2" fontId="8" fillId="12" borderId="0" xfId="0" applyNumberFormat="1" applyFont="1" applyFill="1"/>
    <xf numFmtId="173" fontId="0" fillId="12" borderId="0" xfId="0" applyNumberFormat="1" applyFill="1"/>
    <xf numFmtId="168" fontId="19" fillId="12" borderId="0" xfId="0" applyNumberFormat="1" applyFont="1" applyFill="1"/>
    <xf numFmtId="0" fontId="8" fillId="12" borderId="0" xfId="0" applyFont="1" applyFill="1"/>
    <xf numFmtId="0" fontId="8" fillId="12" borderId="0" xfId="0" applyFont="1" applyFill="1" applyAlignment="1">
      <alignment horizontal="right"/>
    </xf>
    <xf numFmtId="0" fontId="10" fillId="12" borderId="83" xfId="0" applyFont="1" applyFill="1" applyBorder="1" applyAlignment="1">
      <alignment horizontal="center" vertical="center"/>
    </xf>
    <xf numFmtId="0" fontId="10" fillId="12" borderId="75" xfId="0" applyFont="1" applyFill="1" applyBorder="1" applyAlignment="1">
      <alignment horizontal="center" vertical="center"/>
    </xf>
    <xf numFmtId="0" fontId="8" fillId="12" borderId="191" xfId="0" applyFont="1" applyFill="1" applyBorder="1" applyAlignment="1">
      <alignment horizontal="center" vertical="center"/>
    </xf>
    <xf numFmtId="173" fontId="0" fillId="12" borderId="0" xfId="0" applyNumberFormat="1" applyFill="1" applyBorder="1"/>
    <xf numFmtId="0" fontId="0" fillId="12" borderId="113" xfId="0" applyFill="1" applyBorder="1"/>
    <xf numFmtId="3" fontId="0" fillId="12" borderId="0" xfId="0" applyNumberFormat="1" applyFill="1"/>
    <xf numFmtId="168" fontId="0" fillId="12" borderId="0" xfId="0" applyNumberFormat="1" applyFill="1"/>
    <xf numFmtId="0" fontId="0" fillId="0" borderId="0" xfId="0" applyAlignment="1">
      <alignment horizontal="right"/>
    </xf>
    <xf numFmtId="0" fontId="93" fillId="17" borderId="0" xfId="0" applyFont="1" applyFill="1" applyBorder="1"/>
    <xf numFmtId="0" fontId="93" fillId="17" borderId="193" xfId="0" applyFont="1" applyFill="1" applyBorder="1"/>
    <xf numFmtId="0" fontId="93" fillId="17" borderId="194" xfId="0" applyFont="1" applyFill="1" applyBorder="1"/>
    <xf numFmtId="0" fontId="93" fillId="17" borderId="195" xfId="0" applyFont="1" applyFill="1" applyBorder="1"/>
    <xf numFmtId="0" fontId="93" fillId="17" borderId="196" xfId="0" applyFont="1" applyFill="1" applyBorder="1"/>
    <xf numFmtId="0" fontId="93" fillId="17" borderId="197" xfId="0" applyFont="1" applyFill="1" applyBorder="1"/>
    <xf numFmtId="0" fontId="93" fillId="17" borderId="198" xfId="0" applyFont="1" applyFill="1" applyBorder="1"/>
    <xf numFmtId="0" fontId="93" fillId="17" borderId="199" xfId="0" applyFont="1" applyFill="1" applyBorder="1"/>
    <xf numFmtId="0" fontId="94" fillId="17" borderId="199" xfId="0" applyFont="1" applyFill="1" applyBorder="1" applyAlignment="1">
      <alignment horizontal="center"/>
    </xf>
    <xf numFmtId="0" fontId="93" fillId="17" borderId="200" xfId="0" applyFont="1" applyFill="1" applyBorder="1"/>
    <xf numFmtId="2" fontId="0" fillId="12" borderId="0" xfId="0" applyNumberFormat="1" applyFill="1"/>
    <xf numFmtId="0" fontId="0" fillId="12" borderId="201" xfId="0" applyFill="1" applyBorder="1"/>
    <xf numFmtId="173" fontId="0" fillId="0" borderId="113" xfId="0" applyNumberFormat="1" applyBorder="1"/>
    <xf numFmtId="4" fontId="0" fillId="0" borderId="0" xfId="0" applyNumberFormat="1" applyBorder="1"/>
    <xf numFmtId="0" fontId="8" fillId="0" borderId="10" xfId="0" quotePrefix="1" applyFont="1" applyBorder="1" applyAlignment="1"/>
    <xf numFmtId="0" fontId="0" fillId="0" borderId="77" xfId="0" applyBorder="1" applyAlignment="1">
      <alignment horizontal="center"/>
    </xf>
    <xf numFmtId="0" fontId="0" fillId="0" borderId="192" xfId="0" applyBorder="1"/>
    <xf numFmtId="10" fontId="8" fillId="0" borderId="0" xfId="3" applyNumberFormat="1" applyFill="1" applyBorder="1" applyAlignment="1">
      <alignment horizontal="center"/>
    </xf>
    <xf numFmtId="10" fontId="59" fillId="0" borderId="10" xfId="0" applyNumberFormat="1" applyFont="1" applyBorder="1" applyAlignment="1">
      <alignment horizontal="center"/>
    </xf>
    <xf numFmtId="10" fontId="59" fillId="0" borderId="10" xfId="0" applyNumberFormat="1" applyFont="1" applyBorder="1"/>
    <xf numFmtId="168" fontId="59" fillId="0" borderId="10" xfId="0" applyNumberFormat="1" applyFont="1" applyBorder="1"/>
    <xf numFmtId="3" fontId="59" fillId="0" borderId="10" xfId="0" applyNumberFormat="1" applyFont="1" applyBorder="1"/>
    <xf numFmtId="166" fontId="59" fillId="0" borderId="10" xfId="2" applyNumberFormat="1" applyFont="1" applyBorder="1"/>
    <xf numFmtId="181" fontId="59" fillId="0" borderId="10" xfId="2" applyNumberFormat="1" applyFont="1" applyBorder="1"/>
    <xf numFmtId="168" fontId="59" fillId="0" borderId="10" xfId="3" applyNumberFormat="1" applyFont="1" applyBorder="1"/>
    <xf numFmtId="10" fontId="59" fillId="0" borderId="10" xfId="3" applyNumberFormat="1" applyFont="1" applyBorder="1"/>
    <xf numFmtId="0" fontId="59" fillId="0" borderId="10" xfId="0" applyFont="1" applyBorder="1" applyAlignment="1">
      <alignment horizontal="left"/>
    </xf>
    <xf numFmtId="0" fontId="59" fillId="0" borderId="10" xfId="0" applyFont="1" applyBorder="1" applyAlignment="1">
      <alignment horizontal="center"/>
    </xf>
    <xf numFmtId="0" fontId="59" fillId="0" borderId="10" xfId="0" applyFont="1" applyBorder="1" applyAlignment="1"/>
    <xf numFmtId="0" fontId="63" fillId="0" borderId="10" xfId="0" applyFont="1" applyBorder="1"/>
    <xf numFmtId="0" fontId="59" fillId="0" borderId="10" xfId="0" applyFont="1" applyBorder="1"/>
    <xf numFmtId="0" fontId="8" fillId="0" borderId="10" xfId="0" applyFont="1" applyBorder="1"/>
    <xf numFmtId="10" fontId="8" fillId="0" borderId="113" xfId="3" applyNumberFormat="1" applyFont="1" applyBorder="1" applyAlignment="1">
      <alignment horizontal="right"/>
    </xf>
    <xf numFmtId="0" fontId="15" fillId="0" borderId="29" xfId="0" applyFont="1" applyBorder="1" applyAlignment="1">
      <alignment horizontal="center" vertical="center" wrapText="1"/>
    </xf>
    <xf numFmtId="0" fontId="15" fillId="0" borderId="192" xfId="0" applyFont="1" applyBorder="1" applyAlignment="1">
      <alignment horizontal="center" vertical="center" wrapText="1"/>
    </xf>
    <xf numFmtId="10" fontId="8" fillId="0" borderId="191" xfId="3" applyNumberFormat="1" applyBorder="1"/>
    <xf numFmtId="183" fontId="0" fillId="0" borderId="0" xfId="0" applyNumberFormat="1" applyBorder="1"/>
    <xf numFmtId="173" fontId="12" fillId="0" borderId="0" xfId="5" applyNumberFormat="1" applyFont="1" applyBorder="1" applyProtection="1">
      <protection locked="0"/>
    </xf>
    <xf numFmtId="43" fontId="12" fillId="0" borderId="0" xfId="2" applyFont="1" applyBorder="1"/>
    <xf numFmtId="164" fontId="12" fillId="0" borderId="0" xfId="5" applyNumberFormat="1" applyFont="1" applyBorder="1"/>
    <xf numFmtId="43" fontId="12" fillId="0" borderId="0" xfId="2" applyFont="1" applyFill="1" applyBorder="1"/>
    <xf numFmtId="2" fontId="12" fillId="0" borderId="0" xfId="5" applyNumberFormat="1" applyFont="1" applyBorder="1"/>
    <xf numFmtId="173" fontId="19" fillId="0" borderId="34" xfId="5" applyNumberFormat="1" applyFont="1" applyFill="1" applyBorder="1" applyAlignment="1" applyProtection="1">
      <alignment vertical="center"/>
      <protection locked="0"/>
    </xf>
    <xf numFmtId="0" fontId="19" fillId="0" borderId="146" xfId="5" applyFont="1" applyBorder="1" applyAlignment="1">
      <alignment vertical="center" wrapText="1"/>
    </xf>
    <xf numFmtId="173" fontId="12" fillId="0" borderId="34" xfId="5" applyNumberFormat="1" applyFont="1" applyBorder="1" applyProtection="1">
      <protection locked="0"/>
    </xf>
    <xf numFmtId="164" fontId="12" fillId="0" borderId="34" xfId="5" applyNumberFormat="1" applyFont="1" applyBorder="1"/>
    <xf numFmtId="0" fontId="19" fillId="0" borderId="146" xfId="5" applyFont="1" applyBorder="1" applyAlignment="1">
      <alignment horizontal="center" vertical="center" wrapText="1"/>
    </xf>
    <xf numFmtId="0" fontId="19" fillId="0" borderId="11" xfId="5" applyFont="1" applyBorder="1" applyAlignment="1" applyProtection="1">
      <alignment horizontal="center" vertical="center"/>
      <protection locked="0"/>
    </xf>
    <xf numFmtId="173" fontId="63" fillId="13" borderId="173" xfId="5" applyNumberFormat="1" applyFont="1" applyFill="1" applyBorder="1"/>
    <xf numFmtId="173" fontId="63" fillId="13" borderId="174" xfId="5" applyNumberFormat="1" applyFont="1" applyFill="1" applyBorder="1"/>
    <xf numFmtId="173" fontId="63" fillId="13" borderId="176" xfId="5" applyNumberFormat="1" applyFont="1" applyFill="1" applyBorder="1"/>
    <xf numFmtId="0" fontId="63" fillId="13" borderId="180" xfId="5" applyFont="1" applyFill="1" applyBorder="1"/>
    <xf numFmtId="168" fontId="63" fillId="13" borderId="181" xfId="5" applyNumberFormat="1" applyFont="1" applyFill="1" applyBorder="1"/>
    <xf numFmtId="168" fontId="63" fillId="13" borderId="182" xfId="5" applyNumberFormat="1" applyFont="1" applyFill="1" applyBorder="1"/>
    <xf numFmtId="0" fontId="63" fillId="13" borderId="205" xfId="5" applyFont="1" applyFill="1" applyBorder="1"/>
    <xf numFmtId="168" fontId="63" fillId="13" borderId="206" xfId="5" applyNumberFormat="1" applyFont="1" applyFill="1" applyBorder="1"/>
    <xf numFmtId="168" fontId="63" fillId="13" borderId="207" xfId="5" applyNumberFormat="1" applyFont="1" applyFill="1" applyBorder="1"/>
    <xf numFmtId="0" fontId="64" fillId="13" borderId="173" xfId="5" applyFont="1" applyFill="1" applyBorder="1" applyAlignment="1">
      <alignment horizontal="center"/>
    </xf>
    <xf numFmtId="0" fontId="64" fillId="13" borderId="174" xfId="5" applyFont="1" applyFill="1" applyBorder="1" applyAlignment="1">
      <alignment horizontal="center"/>
    </xf>
    <xf numFmtId="0" fontId="64" fillId="13" borderId="208" xfId="5" applyFont="1" applyFill="1" applyBorder="1" applyAlignment="1">
      <alignment horizontal="center"/>
    </xf>
    <xf numFmtId="2" fontId="63" fillId="13" borderId="173" xfId="5" applyNumberFormat="1" applyFont="1" applyFill="1" applyBorder="1"/>
    <xf numFmtId="2" fontId="63" fillId="13" borderId="174" xfId="5" applyNumberFormat="1" applyFont="1" applyFill="1" applyBorder="1"/>
    <xf numFmtId="2" fontId="63" fillId="13" borderId="175" xfId="5" applyNumberFormat="1" applyFont="1" applyFill="1" applyBorder="1"/>
    <xf numFmtId="2" fontId="63" fillId="13" borderId="208" xfId="5" applyNumberFormat="1" applyFont="1" applyFill="1" applyBorder="1"/>
    <xf numFmtId="168" fontId="63" fillId="13" borderId="209" xfId="5" applyNumberFormat="1" applyFont="1" applyFill="1" applyBorder="1"/>
    <xf numFmtId="0" fontId="64" fillId="13" borderId="176" xfId="5" applyFont="1" applyFill="1" applyBorder="1" applyAlignment="1">
      <alignment horizontal="center"/>
    </xf>
    <xf numFmtId="168" fontId="12" fillId="0" borderId="0" xfId="5" applyNumberFormat="1" applyFont="1" applyBorder="1"/>
    <xf numFmtId="0" fontId="88" fillId="0" borderId="0" xfId="61" applyFont="1" applyBorder="1" applyAlignment="1">
      <alignment horizontal="center" vertical="center" wrapText="1"/>
    </xf>
    <xf numFmtId="0" fontId="10" fillId="0" borderId="186" xfId="5" applyFont="1" applyBorder="1" applyAlignment="1" applyProtection="1">
      <alignment horizontal="center" vertical="center" wrapText="1"/>
      <protection locked="0"/>
    </xf>
    <xf numFmtId="0" fontId="89" fillId="0" borderId="113" xfId="61" applyFont="1" applyBorder="1" applyAlignment="1">
      <alignment horizontal="center" vertical="center" wrapText="1"/>
    </xf>
    <xf numFmtId="0" fontId="19" fillId="0" borderId="145" xfId="5" applyFont="1" applyBorder="1" applyAlignment="1">
      <alignment horizontal="center" vertical="center"/>
    </xf>
    <xf numFmtId="0" fontId="19" fillId="0" borderId="191" xfId="5" applyFont="1" applyBorder="1" applyAlignment="1">
      <alignment horizontal="center" vertical="center"/>
    </xf>
    <xf numFmtId="180" fontId="8" fillId="0" borderId="0" xfId="5" applyNumberFormat="1"/>
    <xf numFmtId="2" fontId="50" fillId="0" borderId="0" xfId="5" applyNumberFormat="1" applyFont="1"/>
    <xf numFmtId="183" fontId="8" fillId="0" borderId="0" xfId="5" applyNumberFormat="1"/>
    <xf numFmtId="4" fontId="52" fillId="13" borderId="125" xfId="0" applyNumberFormat="1" applyFont="1" applyFill="1" applyBorder="1"/>
    <xf numFmtId="0" fontId="62" fillId="13" borderId="119" xfId="61" applyFont="1" applyFill="1" applyBorder="1" applyAlignment="1">
      <alignment horizontal="center" vertical="center" wrapText="1"/>
    </xf>
    <xf numFmtId="4" fontId="52" fillId="13" borderId="131" xfId="0" applyNumberFormat="1" applyFont="1" applyFill="1" applyBorder="1"/>
    <xf numFmtId="0" fontId="0" fillId="13" borderId="131" xfId="0" applyFill="1" applyBorder="1"/>
    <xf numFmtId="0" fontId="0" fillId="13" borderId="211" xfId="0" applyFill="1" applyBorder="1"/>
    <xf numFmtId="0" fontId="0" fillId="13" borderId="212" xfId="0" applyFill="1" applyBorder="1"/>
    <xf numFmtId="4" fontId="0" fillId="13" borderId="212" xfId="0" applyNumberFormat="1" applyFill="1" applyBorder="1"/>
    <xf numFmtId="183" fontId="0" fillId="13" borderId="212" xfId="0" applyNumberFormat="1" applyFill="1" applyBorder="1"/>
    <xf numFmtId="183" fontId="0" fillId="13" borderId="213" xfId="0" applyNumberFormat="1" applyFill="1" applyBorder="1"/>
    <xf numFmtId="0" fontId="26" fillId="0" borderId="131" xfId="0" applyFont="1" applyBorder="1" applyAlignment="1">
      <alignment wrapText="1"/>
    </xf>
    <xf numFmtId="2" fontId="0" fillId="13" borderId="131" xfId="0" applyNumberFormat="1" applyFill="1" applyBorder="1"/>
    <xf numFmtId="2" fontId="52" fillId="13" borderId="131" xfId="0" applyNumberFormat="1" applyFont="1" applyFill="1" applyBorder="1"/>
    <xf numFmtId="0" fontId="62" fillId="13" borderId="120" xfId="61" applyFont="1" applyFill="1" applyBorder="1" applyAlignment="1">
      <alignment horizontal="center" vertical="center" wrapText="1"/>
    </xf>
    <xf numFmtId="0" fontId="62" fillId="13" borderId="117" xfId="61" applyFont="1" applyFill="1" applyBorder="1" applyAlignment="1">
      <alignment horizontal="center" vertical="center" wrapText="1"/>
    </xf>
    <xf numFmtId="0" fontId="10" fillId="0" borderId="123" xfId="0" applyFont="1" applyBorder="1" applyAlignment="1">
      <alignment wrapText="1"/>
    </xf>
    <xf numFmtId="0" fontId="66" fillId="13" borderId="131" xfId="0" applyFont="1" applyFill="1" applyBorder="1" applyAlignment="1" applyProtection="1">
      <alignment horizontal="center" vertical="center" wrapText="1"/>
    </xf>
    <xf numFmtId="0" fontId="66" fillId="13" borderId="0" xfId="0" applyFont="1" applyFill="1" applyBorder="1" applyAlignment="1" applyProtection="1">
      <alignment horizontal="center" vertical="center" wrapText="1"/>
    </xf>
    <xf numFmtId="0" fontId="66" fillId="13" borderId="132" xfId="0" applyFont="1" applyFill="1" applyBorder="1" applyAlignment="1" applyProtection="1">
      <alignment horizontal="center" vertical="center" wrapText="1"/>
    </xf>
    <xf numFmtId="0" fontId="26" fillId="0" borderId="125" xfId="0" applyFont="1" applyBorder="1" applyAlignment="1">
      <alignment horizontal="center" wrapText="1"/>
    </xf>
    <xf numFmtId="1" fontId="96" fillId="0" borderId="0" xfId="0" applyNumberFormat="1" applyFont="1"/>
    <xf numFmtId="0" fontId="8" fillId="0" borderId="0" xfId="0" applyFont="1" applyAlignment="1" applyProtection="1">
      <alignment vertical="center"/>
      <protection locked="0"/>
    </xf>
    <xf numFmtId="170" fontId="10" fillId="4" borderId="0" xfId="60" applyNumberFormat="1" applyFont="1" applyFill="1" applyAlignment="1">
      <alignment horizontal="center"/>
    </xf>
    <xf numFmtId="0" fontId="8" fillId="5" borderId="7" xfId="5" applyFill="1" applyBorder="1" applyAlignment="1">
      <alignment horizontal="center"/>
    </xf>
    <xf numFmtId="0" fontId="8" fillId="8" borderId="14" xfId="5" applyFill="1" applyBorder="1" applyAlignment="1">
      <alignment horizontal="center"/>
    </xf>
    <xf numFmtId="0" fontId="8" fillId="12" borderId="21" xfId="5" applyFill="1" applyBorder="1" applyAlignment="1">
      <alignment horizontal="left"/>
    </xf>
    <xf numFmtId="0" fontId="8" fillId="12" borderId="9" xfId="5" applyFill="1" applyBorder="1" applyAlignment="1">
      <alignment horizontal="left"/>
    </xf>
    <xf numFmtId="0" fontId="10" fillId="0" borderId="54" xfId="5" applyFont="1" applyBorder="1" applyAlignment="1">
      <alignment horizontal="center"/>
    </xf>
    <xf numFmtId="0" fontId="31" fillId="12" borderId="0" xfId="5" applyFont="1" applyFill="1" applyAlignment="1">
      <alignment horizontal="center"/>
    </xf>
    <xf numFmtId="0" fontId="10" fillId="12" borderId="0" xfId="5" applyFont="1" applyFill="1" applyAlignment="1">
      <alignment horizontal="center"/>
    </xf>
    <xf numFmtId="0" fontId="15" fillId="0" borderId="0" xfId="5" applyFont="1" applyAlignment="1">
      <alignment horizontal="center" vertical="center" textRotation="90" wrapText="1"/>
    </xf>
    <xf numFmtId="0" fontId="9" fillId="0" borderId="0" xfId="5" applyFont="1" applyAlignment="1">
      <alignment horizontal="center"/>
    </xf>
    <xf numFmtId="0" fontId="10" fillId="0" borderId="0" xfId="5" applyFont="1" applyAlignment="1">
      <alignment horizontal="center"/>
    </xf>
    <xf numFmtId="0" fontId="10" fillId="0" borderId="1" xfId="5" applyFont="1" applyBorder="1" applyAlignment="1">
      <alignment horizontal="center" vertical="center" wrapText="1"/>
    </xf>
    <xf numFmtId="0" fontId="10" fillId="0" borderId="25" xfId="5" applyFont="1" applyBorder="1" applyAlignment="1">
      <alignment horizontal="center" vertical="center" wrapText="1"/>
    </xf>
    <xf numFmtId="0" fontId="10" fillId="0" borderId="0" xfId="5" applyFont="1" applyBorder="1" applyAlignment="1">
      <alignment horizontal="center"/>
    </xf>
    <xf numFmtId="0" fontId="8" fillId="0" borderId="0" xfId="5" applyAlignment="1">
      <alignment wrapText="1"/>
    </xf>
    <xf numFmtId="0" fontId="8" fillId="0" borderId="0" xfId="5" applyBorder="1" applyAlignment="1">
      <alignment horizontal="center" vertical="center" wrapText="1"/>
    </xf>
    <xf numFmtId="0" fontId="15" fillId="0" borderId="0" xfId="5" applyFont="1" applyBorder="1" applyAlignment="1">
      <alignment horizontal="center" vertical="center" textRotation="90" wrapText="1"/>
    </xf>
    <xf numFmtId="0" fontId="15" fillId="0" borderId="0" xfId="5" applyFont="1" applyBorder="1" applyAlignment="1">
      <alignment horizontal="center" vertical="center"/>
    </xf>
    <xf numFmtId="0" fontId="31" fillId="0" borderId="0" xfId="5" applyFont="1" applyAlignment="1">
      <alignment horizontal="center"/>
    </xf>
    <xf numFmtId="0" fontId="8" fillId="0" borderId="0" xfId="5" applyAlignment="1">
      <alignment vertical="center" wrapText="1"/>
    </xf>
    <xf numFmtId="0" fontId="8" fillId="0" borderId="0" xfId="5" applyAlignment="1">
      <alignment horizontal="center" vertical="center" wrapText="1"/>
    </xf>
    <xf numFmtId="0" fontId="10" fillId="0" borderId="7" xfId="0" applyFont="1" applyBorder="1" applyAlignment="1">
      <alignment horizontal="center"/>
    </xf>
    <xf numFmtId="0" fontId="10" fillId="0" borderId="0" xfId="0" applyFont="1" applyAlignment="1">
      <alignment horizontal="center" wrapText="1"/>
    </xf>
    <xf numFmtId="1" fontId="0" fillId="12" borderId="0" xfId="0" applyNumberFormat="1" applyFill="1"/>
    <xf numFmtId="0" fontId="15" fillId="0" borderId="0" xfId="5" applyFont="1" applyBorder="1" applyAlignment="1">
      <alignment horizontal="center" vertical="center" textRotation="90" wrapText="1"/>
    </xf>
    <xf numFmtId="0" fontId="1" fillId="0" borderId="0" xfId="10" applyFont="1"/>
    <xf numFmtId="0" fontId="8" fillId="0" borderId="0" xfId="0" applyFont="1" applyAlignment="1">
      <alignment horizontal="center"/>
    </xf>
    <xf numFmtId="2" fontId="0" fillId="0" borderId="0" xfId="0" applyNumberFormat="1"/>
    <xf numFmtId="170" fontId="22" fillId="18" borderId="2" xfId="60" applyNumberFormat="1" applyFont="1" applyFill="1" applyBorder="1"/>
    <xf numFmtId="170" fontId="22" fillId="18" borderId="105" xfId="60" applyNumberFormat="1" applyFont="1" applyFill="1" applyBorder="1"/>
    <xf numFmtId="0" fontId="8" fillId="0" borderId="0" xfId="5" applyFill="1" applyBorder="1"/>
    <xf numFmtId="0" fontId="8" fillId="5" borderId="142" xfId="5" applyFill="1" applyBorder="1" applyAlignment="1">
      <alignment horizontal="center"/>
    </xf>
    <xf numFmtId="0" fontId="8" fillId="5" borderId="143" xfId="5" applyFill="1" applyBorder="1" applyAlignment="1">
      <alignment horizontal="center"/>
    </xf>
    <xf numFmtId="0" fontId="8" fillId="5" borderId="217" xfId="5" applyFill="1" applyBorder="1" applyAlignment="1">
      <alignment horizontal="center"/>
    </xf>
    <xf numFmtId="0" fontId="8" fillId="0" borderId="0" xfId="5" applyFill="1" applyBorder="1" applyAlignment="1">
      <alignment wrapText="1"/>
    </xf>
    <xf numFmtId="0" fontId="8" fillId="0" borderId="0" xfId="5" applyBorder="1" applyAlignment="1">
      <alignment wrapText="1"/>
    </xf>
    <xf numFmtId="0" fontId="8" fillId="0" borderId="218" xfId="5" applyBorder="1"/>
    <xf numFmtId="0" fontId="10" fillId="6" borderId="142" xfId="5" applyFont="1" applyFill="1" applyBorder="1" applyAlignment="1">
      <alignment horizontal="center" vertical="center" wrapText="1"/>
    </xf>
    <xf numFmtId="0" fontId="10" fillId="3" borderId="142" xfId="5" applyFont="1" applyFill="1" applyBorder="1" applyAlignment="1">
      <alignment horizontal="center" vertical="center" wrapText="1"/>
    </xf>
    <xf numFmtId="0" fontId="10" fillId="3" borderId="0" xfId="5" applyFont="1" applyFill="1" applyBorder="1" applyAlignment="1">
      <alignment horizontal="center" vertical="center" wrapText="1"/>
    </xf>
    <xf numFmtId="168" fontId="17" fillId="3" borderId="218" xfId="3" applyNumberFormat="1" applyFont="1" applyFill="1" applyBorder="1"/>
    <xf numFmtId="10" fontId="17" fillId="3" borderId="218" xfId="3" applyNumberFormat="1" applyFont="1" applyFill="1" applyBorder="1"/>
    <xf numFmtId="168" fontId="17" fillId="0" borderId="0" xfId="3" applyNumberFormat="1" applyFont="1" applyFill="1" applyBorder="1"/>
    <xf numFmtId="168" fontId="10" fillId="0" borderId="0" xfId="3" applyNumberFormat="1" applyFont="1" applyFill="1" applyBorder="1"/>
    <xf numFmtId="168" fontId="10" fillId="0" borderId="0" xfId="3" applyNumberFormat="1" applyFont="1" applyBorder="1"/>
    <xf numFmtId="168" fontId="8" fillId="0" borderId="0" xfId="3" applyNumberFormat="1" applyFont="1" applyFill="1" applyBorder="1"/>
    <xf numFmtId="173" fontId="10" fillId="8" borderId="61" xfId="5" applyNumberFormat="1" applyFont="1" applyFill="1" applyBorder="1"/>
    <xf numFmtId="0" fontId="8" fillId="8" borderId="142" xfId="5" applyFill="1" applyBorder="1" applyAlignment="1">
      <alignment horizontal="left"/>
    </xf>
    <xf numFmtId="0" fontId="8" fillId="8" borderId="143" xfId="5" applyFill="1" applyBorder="1" applyAlignment="1">
      <alignment horizontal="left"/>
    </xf>
    <xf numFmtId="0" fontId="8" fillId="8" borderId="191" xfId="5" applyFill="1" applyBorder="1" applyAlignment="1">
      <alignment horizontal="left"/>
    </xf>
    <xf numFmtId="0" fontId="8" fillId="8" borderId="219" xfId="5" applyFill="1" applyBorder="1" applyAlignment="1">
      <alignment horizontal="left"/>
    </xf>
    <xf numFmtId="170" fontId="18" fillId="0" borderId="218" xfId="60" applyNumberFormat="1" applyFont="1" applyFill="1" applyBorder="1"/>
    <xf numFmtId="168" fontId="18" fillId="0" borderId="217" xfId="3" applyNumberFormat="1" applyFont="1" applyBorder="1"/>
    <xf numFmtId="168" fontId="18" fillId="0" borderId="0" xfId="3" applyNumberFormat="1" applyFont="1" applyFill="1" applyBorder="1"/>
    <xf numFmtId="168" fontId="18" fillId="0" borderId="0" xfId="3" applyNumberFormat="1" applyFont="1" applyBorder="1"/>
    <xf numFmtId="174" fontId="8" fillId="0" borderId="143" xfId="60" applyNumberFormat="1" applyBorder="1"/>
    <xf numFmtId="174" fontId="8" fillId="0" borderId="142" xfId="60" applyNumberFormat="1" applyBorder="1"/>
    <xf numFmtId="169" fontId="20" fillId="0" borderId="147" xfId="60" applyFont="1" applyFill="1" applyBorder="1" applyAlignment="1"/>
    <xf numFmtId="0" fontId="8" fillId="8" borderId="218" xfId="5" applyFill="1" applyBorder="1"/>
    <xf numFmtId="169" fontId="21" fillId="0" borderId="220" xfId="60" applyFont="1" applyFill="1" applyBorder="1" applyAlignment="1"/>
    <xf numFmtId="169" fontId="21" fillId="0" borderId="145" xfId="60" applyFont="1" applyFill="1" applyBorder="1" applyAlignment="1"/>
    <xf numFmtId="169" fontId="20" fillId="0" borderId="221" xfId="60" applyFont="1" applyFill="1" applyBorder="1" applyAlignment="1">
      <alignment horizontal="center"/>
    </xf>
    <xf numFmtId="2" fontId="8" fillId="0" borderId="217" xfId="5" applyNumberFormat="1" applyBorder="1"/>
    <xf numFmtId="0" fontId="10" fillId="2" borderId="142" xfId="5" applyNumberFormat="1" applyFont="1" applyFill="1" applyBorder="1" applyAlignment="1">
      <alignment horizontal="center"/>
    </xf>
    <xf numFmtId="2" fontId="10" fillId="2" borderId="142" xfId="5" applyNumberFormat="1" applyFont="1" applyFill="1" applyBorder="1" applyAlignment="1">
      <alignment horizontal="center"/>
    </xf>
    <xf numFmtId="2" fontId="10" fillId="12" borderId="147" xfId="5" applyNumberFormat="1" applyFont="1" applyFill="1" applyBorder="1" applyAlignment="1">
      <alignment horizontal="center"/>
    </xf>
    <xf numFmtId="0" fontId="8" fillId="0" borderId="217" xfId="5" applyBorder="1"/>
    <xf numFmtId="0" fontId="8" fillId="0" borderId="147" xfId="5" applyBorder="1"/>
    <xf numFmtId="0" fontId="8" fillId="0" borderId="217" xfId="5" applyFont="1" applyBorder="1"/>
    <xf numFmtId="2" fontId="10" fillId="2" borderId="147" xfId="5" applyNumberFormat="1" applyFont="1" applyFill="1" applyBorder="1" applyAlignment="1">
      <alignment horizontal="center"/>
    </xf>
    <xf numFmtId="0" fontId="8" fillId="12" borderId="0" xfId="5" applyFill="1" applyAlignment="1"/>
    <xf numFmtId="173" fontId="20" fillId="12" borderId="18" xfId="5" applyNumberFormat="1" applyFont="1" applyFill="1" applyBorder="1" applyProtection="1"/>
    <xf numFmtId="173" fontId="8" fillId="12" borderId="105" xfId="5" applyNumberFormat="1" applyFill="1" applyBorder="1" applyAlignment="1"/>
    <xf numFmtId="168" fontId="97" fillId="12" borderId="224" xfId="5" applyNumberFormat="1" applyFont="1" applyFill="1" applyBorder="1" applyAlignment="1" applyProtection="1">
      <alignment horizontal="center"/>
    </xf>
    <xf numFmtId="173" fontId="20" fillId="12" borderId="19" xfId="5" applyNumberFormat="1" applyFont="1" applyFill="1" applyBorder="1" applyProtection="1"/>
    <xf numFmtId="10" fontId="19" fillId="12" borderId="219" xfId="5" applyNumberFormat="1" applyFont="1" applyFill="1" applyBorder="1" applyAlignment="1">
      <alignment horizontal="center"/>
    </xf>
    <xf numFmtId="2" fontId="19" fillId="12" borderId="191" xfId="5" applyNumberFormat="1" applyFont="1" applyFill="1" applyBorder="1" applyAlignment="1">
      <alignment horizontal="center"/>
    </xf>
    <xf numFmtId="2" fontId="22" fillId="12" borderId="73" xfId="5" applyNumberFormat="1" applyFont="1" applyFill="1" applyBorder="1" applyAlignment="1">
      <alignment horizontal="center"/>
    </xf>
    <xf numFmtId="173" fontId="10" fillId="12" borderId="16" xfId="5" applyNumberFormat="1" applyFont="1" applyFill="1" applyBorder="1"/>
    <xf numFmtId="173" fontId="17" fillId="12" borderId="19" xfId="5" applyNumberFormat="1" applyFont="1" applyFill="1" applyBorder="1" applyProtection="1"/>
    <xf numFmtId="173" fontId="17" fillId="12" borderId="18" xfId="5" applyNumberFormat="1" applyFont="1" applyFill="1" applyBorder="1" applyProtection="1"/>
    <xf numFmtId="10" fontId="43" fillId="12" borderId="96" xfId="5" applyNumberFormat="1" applyFont="1" applyFill="1" applyBorder="1" applyAlignment="1">
      <alignment horizontal="center"/>
    </xf>
    <xf numFmtId="2" fontId="43" fillId="12" borderId="18" xfId="5" applyNumberFormat="1" applyFont="1" applyFill="1" applyBorder="1" applyAlignment="1">
      <alignment horizontal="center"/>
    </xf>
    <xf numFmtId="10" fontId="43" fillId="12" borderId="19" xfId="5" applyNumberFormat="1" applyFont="1" applyFill="1" applyBorder="1" applyAlignment="1">
      <alignment horizontal="center"/>
    </xf>
    <xf numFmtId="173" fontId="17" fillId="12" borderId="81" xfId="5" applyNumberFormat="1" applyFont="1" applyFill="1" applyBorder="1" applyAlignment="1"/>
    <xf numFmtId="172" fontId="20" fillId="12" borderId="19" xfId="5" applyNumberFormat="1" applyFont="1" applyFill="1" applyBorder="1" applyProtection="1"/>
    <xf numFmtId="172" fontId="20" fillId="12" borderId="0" xfId="5" applyNumberFormat="1" applyFont="1" applyFill="1" applyBorder="1" applyProtection="1"/>
    <xf numFmtId="172" fontId="20" fillId="12" borderId="191" xfId="5" applyNumberFormat="1" applyFont="1" applyFill="1" applyBorder="1" applyProtection="1"/>
    <xf numFmtId="10" fontId="98" fillId="12" borderId="219" xfId="5" applyNumberFormat="1" applyFont="1" applyFill="1" applyBorder="1" applyAlignment="1">
      <alignment horizontal="center"/>
    </xf>
    <xf numFmtId="172" fontId="20" fillId="12" borderId="26" xfId="5" applyNumberFormat="1" applyFont="1" applyFill="1" applyBorder="1" applyProtection="1"/>
    <xf numFmtId="174" fontId="8" fillId="12" borderId="50" xfId="60" applyNumberFormat="1" applyFill="1" applyBorder="1"/>
    <xf numFmtId="174" fontId="8" fillId="12" borderId="48" xfId="60" applyNumberFormat="1" applyFill="1" applyBorder="1" applyAlignment="1">
      <alignment horizontal="left"/>
    </xf>
    <xf numFmtId="0" fontId="8" fillId="12" borderId="142" xfId="5" applyFill="1" applyBorder="1" applyAlignment="1">
      <alignment horizontal="left"/>
    </xf>
    <xf numFmtId="0" fontId="8" fillId="12" borderId="191" xfId="5" applyFill="1" applyBorder="1" applyAlignment="1">
      <alignment horizontal="left"/>
    </xf>
    <xf numFmtId="2" fontId="19" fillId="12" borderId="84" xfId="5" applyNumberFormat="1" applyFont="1" applyFill="1" applyBorder="1" applyAlignment="1">
      <alignment horizontal="center"/>
    </xf>
    <xf numFmtId="2" fontId="19" fillId="12" borderId="224" xfId="5" applyNumberFormat="1" applyFont="1" applyFill="1" applyBorder="1" applyAlignment="1">
      <alignment horizontal="center"/>
    </xf>
    <xf numFmtId="173" fontId="21" fillId="12" borderId="14" xfId="5" applyNumberFormat="1" applyFont="1" applyFill="1" applyBorder="1" applyProtection="1"/>
    <xf numFmtId="172" fontId="10" fillId="12" borderId="15" xfId="5" applyNumberFormat="1" applyFont="1" applyFill="1" applyBorder="1"/>
    <xf numFmtId="173" fontId="8" fillId="12" borderId="16" xfId="5" applyNumberFormat="1" applyFill="1" applyBorder="1" applyAlignment="1"/>
    <xf numFmtId="0" fontId="18" fillId="12" borderId="13" xfId="5" applyFont="1" applyFill="1" applyBorder="1" applyAlignment="1">
      <alignment horizontal="left"/>
    </xf>
    <xf numFmtId="0" fontId="18" fillId="12" borderId="14" xfId="5" applyFont="1" applyFill="1" applyBorder="1" applyAlignment="1">
      <alignment horizontal="left"/>
    </xf>
    <xf numFmtId="172" fontId="18" fillId="12" borderId="54" xfId="5" applyNumberFormat="1" applyFont="1" applyFill="1" applyBorder="1"/>
    <xf numFmtId="172" fontId="18" fillId="12" borderId="31" xfId="5" applyNumberFormat="1" applyFont="1" applyFill="1" applyBorder="1"/>
    <xf numFmtId="168" fontId="25" fillId="12" borderId="92" xfId="5" applyNumberFormat="1" applyFont="1" applyFill="1" applyBorder="1" applyAlignment="1">
      <alignment horizontal="center"/>
    </xf>
    <xf numFmtId="2" fontId="25" fillId="12" borderId="92" xfId="5" applyNumberFormat="1" applyFont="1" applyFill="1" applyBorder="1" applyAlignment="1">
      <alignment horizontal="center"/>
    </xf>
    <xf numFmtId="10" fontId="25" fillId="12" borderId="92" xfId="5" applyNumberFormat="1" applyFont="1" applyFill="1" applyBorder="1" applyAlignment="1">
      <alignment horizontal="center"/>
    </xf>
    <xf numFmtId="10" fontId="99" fillId="12" borderId="225" xfId="5" applyNumberFormat="1" applyFont="1" applyFill="1" applyBorder="1" applyAlignment="1" applyProtection="1">
      <alignment horizontal="center"/>
    </xf>
    <xf numFmtId="0" fontId="10" fillId="12" borderId="0" xfId="5" applyFont="1" applyFill="1"/>
    <xf numFmtId="10" fontId="19" fillId="12" borderId="147" xfId="5" applyNumberFormat="1" applyFont="1" applyFill="1" applyBorder="1" applyAlignment="1">
      <alignment horizontal="center"/>
    </xf>
    <xf numFmtId="172" fontId="21" fillId="12" borderId="14" xfId="5" applyNumberFormat="1" applyFont="1" applyFill="1" applyBorder="1" applyProtection="1"/>
    <xf numFmtId="10" fontId="19" fillId="12" borderId="192" xfId="5" applyNumberFormat="1" applyFont="1" applyFill="1" applyBorder="1" applyAlignment="1">
      <alignment horizontal="center"/>
    </xf>
    <xf numFmtId="0" fontId="8" fillId="12" borderId="144" xfId="5" applyFill="1" applyBorder="1" applyAlignment="1">
      <alignment horizontal="left"/>
    </xf>
    <xf numFmtId="10" fontId="19" fillId="12" borderId="142" xfId="5" applyNumberFormat="1" applyFont="1" applyFill="1" applyBorder="1" applyAlignment="1">
      <alignment horizontal="center"/>
    </xf>
    <xf numFmtId="173" fontId="20" fillId="12" borderId="26" xfId="5" applyNumberFormat="1" applyFont="1" applyFill="1" applyBorder="1" applyProtection="1"/>
    <xf numFmtId="0" fontId="8" fillId="12" borderId="192" xfId="5" applyFill="1" applyBorder="1" applyAlignment="1">
      <alignment horizontal="left"/>
    </xf>
    <xf numFmtId="172" fontId="21" fillId="12" borderId="73" xfId="5" applyNumberFormat="1" applyFont="1" applyFill="1" applyBorder="1" applyProtection="1"/>
    <xf numFmtId="0" fontId="45" fillId="0" borderId="159" xfId="5" applyFont="1" applyBorder="1" applyAlignment="1">
      <alignment horizontal="center"/>
    </xf>
    <xf numFmtId="173" fontId="33" fillId="0" borderId="159" xfId="5" applyNumberFormat="1" applyFont="1" applyBorder="1"/>
    <xf numFmtId="10" fontId="46" fillId="0" borderId="159" xfId="5" applyNumberFormat="1" applyFont="1" applyBorder="1"/>
    <xf numFmtId="10" fontId="19" fillId="0" borderId="0" xfId="5" applyNumberFormat="1" applyFont="1" applyBorder="1"/>
    <xf numFmtId="0" fontId="40" fillId="0" borderId="227" xfId="5" applyFont="1" applyBorder="1" applyAlignment="1">
      <alignment horizontal="center"/>
    </xf>
    <xf numFmtId="0" fontId="15" fillId="0" borderId="227" xfId="5" applyFont="1" applyBorder="1" applyAlignment="1">
      <alignment horizontal="center" vertical="center" textRotation="90" wrapText="1"/>
    </xf>
    <xf numFmtId="173" fontId="8" fillId="0" borderId="227" xfId="5" applyNumberFormat="1" applyBorder="1"/>
    <xf numFmtId="10" fontId="19" fillId="0" borderId="227" xfId="5" applyNumberFormat="1" applyFont="1" applyBorder="1"/>
    <xf numFmtId="173" fontId="8" fillId="0" borderId="227" xfId="5" applyNumberFormat="1" applyFont="1" applyBorder="1"/>
    <xf numFmtId="173" fontId="40" fillId="0" borderId="227" xfId="5" applyNumberFormat="1" applyFont="1" applyBorder="1"/>
    <xf numFmtId="10" fontId="48" fillId="0" borderId="227" xfId="5" applyNumberFormat="1" applyFont="1" applyBorder="1"/>
    <xf numFmtId="0" fontId="8" fillId="0" borderId="227" xfId="5" applyBorder="1"/>
    <xf numFmtId="0" fontId="40" fillId="0" borderId="228" xfId="5" applyFont="1" applyBorder="1" applyAlignment="1">
      <alignment horizontal="center"/>
    </xf>
    <xf numFmtId="0" fontId="15" fillId="0" borderId="228" xfId="5" applyFont="1" applyBorder="1" applyAlignment="1">
      <alignment horizontal="center" vertical="center" textRotation="90" wrapText="1"/>
    </xf>
    <xf numFmtId="173" fontId="8" fillId="0" borderId="228" xfId="5" applyNumberFormat="1" applyBorder="1"/>
    <xf numFmtId="10" fontId="19" fillId="0" borderId="228" xfId="5" applyNumberFormat="1" applyFont="1" applyBorder="1"/>
    <xf numFmtId="173" fontId="8" fillId="0" borderId="228" xfId="5" applyNumberFormat="1" applyFont="1" applyBorder="1"/>
    <xf numFmtId="173" fontId="40" fillId="0" borderId="228" xfId="5" applyNumberFormat="1" applyFont="1" applyBorder="1"/>
    <xf numFmtId="10" fontId="48" fillId="0" borderId="228" xfId="5" applyNumberFormat="1" applyFont="1" applyBorder="1"/>
    <xf numFmtId="0" fontId="8" fillId="0" borderId="228" xfId="5" applyBorder="1"/>
    <xf numFmtId="17" fontId="8" fillId="0" borderId="0" xfId="5" applyNumberFormat="1"/>
    <xf numFmtId="0" fontId="19" fillId="0" borderId="18" xfId="5" applyFont="1" applyBorder="1" applyAlignment="1">
      <alignment horizontal="center"/>
    </xf>
    <xf numFmtId="173" fontId="12" fillId="0" borderId="0" xfId="5" applyNumberFormat="1" applyFont="1" applyBorder="1"/>
    <xf numFmtId="173" fontId="12" fillId="0" borderId="19" xfId="5" applyNumberFormat="1" applyFont="1" applyBorder="1"/>
    <xf numFmtId="0" fontId="50" fillId="0" borderId="25" xfId="5" applyFont="1" applyBorder="1"/>
    <xf numFmtId="0" fontId="51" fillId="0" borderId="0" xfId="5" applyFont="1" applyBorder="1" applyAlignment="1"/>
    <xf numFmtId="173" fontId="12" fillId="0" borderId="233" xfId="5" applyNumberFormat="1" applyFont="1" applyBorder="1"/>
    <xf numFmtId="0" fontId="52" fillId="0" borderId="234" xfId="5" applyFont="1" applyBorder="1" applyAlignment="1"/>
    <xf numFmtId="173" fontId="8" fillId="0" borderId="235" xfId="5" applyNumberFormat="1" applyBorder="1"/>
    <xf numFmtId="173" fontId="8" fillId="0" borderId="234" xfId="5" applyNumberFormat="1" applyBorder="1"/>
    <xf numFmtId="10" fontId="39" fillId="0" borderId="152" xfId="5" applyNumberFormat="1" applyFont="1" applyBorder="1"/>
    <xf numFmtId="0" fontId="8" fillId="0" borderId="234" xfId="5" applyBorder="1"/>
    <xf numFmtId="0" fontId="8" fillId="0" borderId="152" xfId="5" applyBorder="1"/>
    <xf numFmtId="173" fontId="8" fillId="0" borderId="162" xfId="5" applyNumberFormat="1" applyBorder="1"/>
    <xf numFmtId="0" fontId="47" fillId="0" borderId="236" xfId="5" applyFont="1" applyBorder="1" applyAlignment="1">
      <alignment horizontal="center" vertical="center" textRotation="90" wrapText="1"/>
    </xf>
    <xf numFmtId="173" fontId="33" fillId="0" borderId="236" xfId="5" applyNumberFormat="1" applyFont="1" applyBorder="1"/>
    <xf numFmtId="10" fontId="25" fillId="0" borderId="236" xfId="5" applyNumberFormat="1" applyFont="1" applyBorder="1"/>
    <xf numFmtId="0" fontId="101" fillId="0" borderId="159" xfId="5" applyFont="1" applyBorder="1"/>
    <xf numFmtId="0" fontId="102" fillId="0" borderId="158" xfId="5" applyFont="1" applyBorder="1" applyAlignment="1">
      <alignment horizontal="center" vertical="center"/>
    </xf>
    <xf numFmtId="0" fontId="103" fillId="0" borderId="0" xfId="5" applyFont="1" applyBorder="1" applyAlignment="1">
      <alignment horizontal="center" vertical="center" textRotation="90" wrapText="1"/>
    </xf>
    <xf numFmtId="173" fontId="104" fillId="0" borderId="237" xfId="5" applyNumberFormat="1" applyFont="1" applyBorder="1"/>
    <xf numFmtId="10" fontId="105" fillId="0" borderId="237" xfId="5" applyNumberFormat="1" applyFont="1" applyBorder="1"/>
    <xf numFmtId="173" fontId="101" fillId="0" borderId="237" xfId="5" applyNumberFormat="1" applyFont="1" applyBorder="1"/>
    <xf numFmtId="0" fontId="59" fillId="0" borderId="0" xfId="5" applyFont="1" applyBorder="1"/>
    <xf numFmtId="173" fontId="59" fillId="0" borderId="0" xfId="5" applyNumberFormat="1" applyFont="1" applyBorder="1"/>
    <xf numFmtId="10" fontId="81" fillId="0" borderId="0" xfId="5" applyNumberFormat="1" applyFont="1" applyBorder="1"/>
    <xf numFmtId="0" fontId="15" fillId="0" borderId="113" xfId="5" applyFont="1" applyBorder="1" applyAlignment="1">
      <alignment vertical="center" textRotation="90" wrapText="1"/>
    </xf>
    <xf numFmtId="0" fontId="22" fillId="0" borderId="9" xfId="5" applyFont="1" applyBorder="1" applyAlignment="1">
      <alignment horizontal="center"/>
    </xf>
    <xf numFmtId="0" fontId="22" fillId="0" borderId="142" xfId="5" applyFont="1" applyBorder="1" applyAlignment="1">
      <alignment horizontal="center"/>
    </xf>
    <xf numFmtId="0" fontId="22" fillId="0" borderId="147" xfId="5" applyFont="1" applyBorder="1" applyAlignment="1">
      <alignment horizontal="center"/>
    </xf>
    <xf numFmtId="165" fontId="22" fillId="0" borderId="9" xfId="2" applyNumberFormat="1" applyFont="1" applyBorder="1" applyAlignment="1">
      <alignment horizontal="center"/>
    </xf>
    <xf numFmtId="0" fontId="8" fillId="0" borderId="52" xfId="5" applyBorder="1"/>
    <xf numFmtId="166" fontId="8" fillId="0" borderId="104" xfId="2" applyNumberFormat="1" applyBorder="1"/>
    <xf numFmtId="165" fontId="8" fillId="0" borderId="34" xfId="2" applyNumberFormat="1" applyBorder="1"/>
    <xf numFmtId="168" fontId="8" fillId="0" borderId="94" xfId="3" applyNumberFormat="1" applyBorder="1"/>
    <xf numFmtId="166" fontId="10" fillId="0" borderId="238" xfId="2" applyNumberFormat="1" applyFont="1" applyBorder="1"/>
    <xf numFmtId="165" fontId="10" fillId="0" borderId="239" xfId="2" applyNumberFormat="1" applyFont="1" applyBorder="1"/>
    <xf numFmtId="168" fontId="10" fillId="0" borderId="240" xfId="3" applyNumberFormat="1" applyFont="1" applyBorder="1"/>
    <xf numFmtId="0" fontId="10" fillId="0" borderId="142" xfId="0" applyFont="1" applyBorder="1" applyAlignment="1">
      <alignment horizontal="center" vertical="center" wrapText="1"/>
    </xf>
    <xf numFmtId="0" fontId="10" fillId="0" borderId="142" xfId="0" applyFont="1" applyBorder="1" applyAlignment="1">
      <alignment vertical="center" wrapText="1"/>
    </xf>
    <xf numFmtId="0" fontId="10" fillId="0" borderId="147" xfId="0" applyFont="1" applyBorder="1"/>
    <xf numFmtId="0" fontId="0" fillId="2" borderId="226" xfId="0" applyFill="1" applyBorder="1"/>
    <xf numFmtId="0" fontId="0" fillId="2" borderId="145" xfId="0" applyFill="1" applyBorder="1" applyAlignment="1">
      <alignment horizontal="center" vertical="center" wrapText="1"/>
    </xf>
    <xf numFmtId="0" fontId="0" fillId="2" borderId="145" xfId="0" applyFill="1" applyBorder="1" applyAlignment="1">
      <alignment vertical="center" wrapText="1"/>
    </xf>
    <xf numFmtId="0" fontId="0" fillId="2" borderId="221" xfId="0" applyFill="1" applyBorder="1"/>
    <xf numFmtId="168" fontId="10" fillId="0" borderId="142" xfId="0" applyNumberFormat="1" applyFont="1" applyBorder="1"/>
    <xf numFmtId="165" fontId="8" fillId="0" borderId="142" xfId="2" applyNumberFormat="1" applyBorder="1"/>
    <xf numFmtId="10" fontId="0" fillId="0" borderId="142" xfId="0" applyNumberFormat="1" applyBorder="1"/>
    <xf numFmtId="168" fontId="10" fillId="0" borderId="147" xfId="0" applyNumberFormat="1" applyFont="1" applyBorder="1"/>
    <xf numFmtId="168" fontId="10" fillId="6" borderId="142" xfId="0" applyNumberFormat="1" applyFont="1" applyFill="1" applyBorder="1"/>
    <xf numFmtId="10" fontId="0" fillId="6" borderId="142" xfId="0" applyNumberFormat="1" applyFill="1" applyBorder="1"/>
    <xf numFmtId="168" fontId="10" fillId="6" borderId="147" xfId="0" applyNumberFormat="1" applyFont="1" applyFill="1" applyBorder="1"/>
    <xf numFmtId="0" fontId="10" fillId="3" borderId="142" xfId="0" applyFont="1" applyFill="1" applyBorder="1"/>
    <xf numFmtId="0" fontId="10" fillId="3" borderId="147" xfId="0" applyFont="1" applyFill="1" applyBorder="1"/>
    <xf numFmtId="0" fontId="10" fillId="10" borderId="142" xfId="0" applyFont="1" applyFill="1" applyBorder="1"/>
    <xf numFmtId="0" fontId="10" fillId="10" borderId="147" xfId="0" applyFont="1" applyFill="1" applyBorder="1"/>
    <xf numFmtId="0" fontId="8" fillId="0" borderId="68" xfId="5" applyBorder="1" applyAlignment="1">
      <alignment horizontal="center"/>
    </xf>
    <xf numFmtId="164" fontId="8" fillId="0" borderId="41" xfId="5" applyNumberFormat="1" applyBorder="1" applyAlignment="1">
      <alignment horizontal="center"/>
    </xf>
    <xf numFmtId="0" fontId="8" fillId="0" borderId="41" xfId="5" applyBorder="1" applyAlignment="1">
      <alignment horizontal="center"/>
    </xf>
    <xf numFmtId="164" fontId="8" fillId="0" borderId="68" xfId="5" applyNumberFormat="1" applyBorder="1"/>
    <xf numFmtId="164" fontId="8" fillId="0" borderId="69" xfId="5" applyNumberFormat="1" applyBorder="1"/>
    <xf numFmtId="164" fontId="8" fillId="0" borderId="42" xfId="5" applyNumberFormat="1" applyBorder="1"/>
    <xf numFmtId="164" fontId="8" fillId="0" borderId="73" xfId="5" applyNumberFormat="1" applyBorder="1"/>
    <xf numFmtId="0" fontId="8" fillId="0" borderId="73" xfId="5" applyBorder="1" applyAlignment="1">
      <alignment horizontal="right"/>
    </xf>
    <xf numFmtId="0" fontId="8" fillId="0" borderId="82" xfId="5" applyBorder="1"/>
    <xf numFmtId="0" fontId="19" fillId="0" borderId="85" xfId="5" applyFont="1" applyBorder="1" applyAlignment="1">
      <alignment horizontal="center" vertical="center" wrapText="1"/>
    </xf>
    <xf numFmtId="0" fontId="53" fillId="0" borderId="0" xfId="0" applyFont="1" applyAlignment="1">
      <alignment horizontal="center"/>
    </xf>
    <xf numFmtId="0" fontId="31"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vertical="center" wrapText="1"/>
    </xf>
    <xf numFmtId="0" fontId="0" fillId="0" borderId="0" xfId="0" applyAlignment="1">
      <alignment horizontal="center" vertical="center" wrapText="1"/>
    </xf>
    <xf numFmtId="0" fontId="3" fillId="0" borderId="0" xfId="31" applyAlignment="1">
      <alignment horizontal="center"/>
    </xf>
    <xf numFmtId="0" fontId="57" fillId="0" borderId="2" xfId="10" applyFont="1" applyBorder="1" applyAlignment="1">
      <alignment horizontal="center" vertical="center" wrapText="1"/>
    </xf>
    <xf numFmtId="0" fontId="57" fillId="0" borderId="5" xfId="10" applyFont="1" applyBorder="1" applyAlignment="1">
      <alignment horizontal="center" vertical="center" wrapText="1"/>
    </xf>
    <xf numFmtId="0" fontId="10" fillId="0" borderId="0" xfId="0" applyFont="1" applyAlignment="1">
      <alignment horizontal="left" vertical="center" wrapText="1"/>
    </xf>
    <xf numFmtId="0" fontId="58" fillId="0" borderId="0" xfId="10" applyFont="1" applyAlignment="1">
      <alignment horizontal="center" vertical="center" wrapText="1"/>
    </xf>
    <xf numFmtId="0" fontId="55" fillId="0" borderId="0" xfId="10" applyFont="1" applyAlignment="1">
      <alignment horizontal="center"/>
    </xf>
    <xf numFmtId="0" fontId="56" fillId="0" borderId="0" xfId="10" applyFont="1" applyAlignment="1">
      <alignment horizontal="center"/>
    </xf>
    <xf numFmtId="0" fontId="6" fillId="0" borderId="2" xfId="10" applyBorder="1" applyAlignment="1">
      <alignment horizontal="center" vertical="center" wrapText="1"/>
    </xf>
    <xf numFmtId="0" fontId="6" fillId="0" borderId="5" xfId="10" applyBorder="1" applyAlignment="1">
      <alignment horizontal="center" vertical="center" wrapText="1"/>
    </xf>
    <xf numFmtId="0" fontId="10" fillId="0" borderId="98"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21" xfId="0" applyFont="1" applyBorder="1" applyAlignment="1">
      <alignment horizontal="center" vertical="center" wrapText="1"/>
    </xf>
    <xf numFmtId="0" fontId="8" fillId="0" borderId="2" xfId="5" applyBorder="1" applyAlignment="1">
      <alignment horizontal="center"/>
    </xf>
    <xf numFmtId="0" fontId="22" fillId="3" borderId="100" xfId="5" applyFont="1" applyFill="1" applyBorder="1" applyAlignment="1">
      <alignment horizontal="center" vertical="top" wrapText="1"/>
    </xf>
    <xf numFmtId="0" fontId="22" fillId="3" borderId="101" xfId="5" applyFont="1" applyFill="1" applyBorder="1" applyAlignment="1">
      <alignment horizontal="center" vertical="top" wrapText="1"/>
    </xf>
    <xf numFmtId="0" fontId="22" fillId="7" borderId="100" xfId="5" applyFont="1" applyFill="1" applyBorder="1" applyAlignment="1">
      <alignment horizontal="center" vertical="top" wrapText="1"/>
    </xf>
    <xf numFmtId="0" fontId="19" fillId="0" borderId="101" xfId="5" applyFont="1" applyBorder="1" applyAlignment="1">
      <alignment horizontal="center" vertical="top"/>
    </xf>
    <xf numFmtId="0" fontId="8" fillId="5" borderId="143" xfId="5" applyFill="1" applyBorder="1" applyAlignment="1">
      <alignment horizontal="center" wrapText="1"/>
    </xf>
    <xf numFmtId="0" fontId="8" fillId="0" borderId="217" xfId="5" applyBorder="1" applyAlignment="1">
      <alignment wrapText="1"/>
    </xf>
    <xf numFmtId="0" fontId="8" fillId="0" borderId="144" xfId="5" applyBorder="1" applyAlignment="1">
      <alignment wrapText="1"/>
    </xf>
    <xf numFmtId="0" fontId="17" fillId="3" borderId="6" xfId="5" applyFont="1" applyFill="1" applyBorder="1" applyAlignment="1">
      <alignment horizontal="left"/>
    </xf>
    <xf numFmtId="0" fontId="17" fillId="3" borderId="7" xfId="5" applyFont="1" applyFill="1" applyBorder="1" applyAlignment="1">
      <alignment horizontal="left"/>
    </xf>
    <xf numFmtId="0" fontId="17" fillId="3" borderId="99" xfId="5" applyFont="1" applyFill="1" applyBorder="1" applyAlignment="1">
      <alignment horizontal="left"/>
    </xf>
    <xf numFmtId="0" fontId="9" fillId="0" borderId="0" xfId="5" applyFont="1" applyAlignment="1">
      <alignment horizontal="left"/>
    </xf>
    <xf numFmtId="170" fontId="10" fillId="4" borderId="0" xfId="60" applyNumberFormat="1" applyFont="1" applyFill="1" applyAlignment="1">
      <alignment horizontal="center"/>
    </xf>
    <xf numFmtId="0" fontId="8" fillId="5" borderId="6" xfId="5" applyFill="1" applyBorder="1" applyAlignment="1">
      <alignment horizontal="center"/>
    </xf>
    <xf numFmtId="0" fontId="8" fillId="5" borderId="7" xfId="5" applyFill="1" applyBorder="1" applyAlignment="1">
      <alignment horizontal="center"/>
    </xf>
    <xf numFmtId="0" fontId="8" fillId="5" borderId="9" xfId="5" applyFill="1" applyBorder="1" applyAlignment="1">
      <alignment horizontal="center"/>
    </xf>
    <xf numFmtId="0" fontId="8" fillId="5" borderId="142" xfId="5" applyFill="1" applyBorder="1" applyAlignment="1">
      <alignment horizontal="center"/>
    </xf>
    <xf numFmtId="0" fontId="10" fillId="5" borderId="99" xfId="5" applyFont="1" applyFill="1" applyBorder="1" applyAlignment="1">
      <alignment horizontal="center"/>
    </xf>
    <xf numFmtId="0" fontId="10" fillId="5" borderId="90" xfId="5" applyFont="1" applyFill="1" applyBorder="1" applyAlignment="1">
      <alignment horizontal="center"/>
    </xf>
    <xf numFmtId="0" fontId="8" fillId="8" borderId="13" xfId="5" applyFill="1" applyBorder="1" applyAlignment="1">
      <alignment horizontal="center"/>
    </xf>
    <xf numFmtId="0" fontId="8" fillId="8" borderId="14" xfId="5" applyFill="1" applyBorder="1" applyAlignment="1">
      <alignment horizontal="center"/>
    </xf>
    <xf numFmtId="0" fontId="8" fillId="12" borderId="21" xfId="5" applyFill="1" applyBorder="1" applyAlignment="1">
      <alignment horizontal="left"/>
    </xf>
    <xf numFmtId="0" fontId="8" fillId="12" borderId="191" xfId="5" applyFill="1" applyBorder="1" applyAlignment="1">
      <alignment horizontal="left"/>
    </xf>
    <xf numFmtId="0" fontId="8" fillId="8" borderId="219" xfId="5" applyFill="1" applyBorder="1" applyAlignment="1">
      <alignment horizontal="left"/>
    </xf>
    <xf numFmtId="0" fontId="8" fillId="12" borderId="9" xfId="5" applyFill="1" applyBorder="1" applyAlignment="1">
      <alignment horizontal="left"/>
    </xf>
    <xf numFmtId="0" fontId="8" fillId="12" borderId="142" xfId="5" applyFill="1" applyBorder="1" applyAlignment="1">
      <alignment horizontal="left"/>
    </xf>
    <xf numFmtId="0" fontId="8" fillId="8" borderId="143" xfId="5" applyFill="1" applyBorder="1" applyAlignment="1">
      <alignment horizontal="left"/>
    </xf>
    <xf numFmtId="0" fontId="10" fillId="12" borderId="13" xfId="5" applyFont="1" applyFill="1" applyBorder="1" applyAlignment="1">
      <alignment horizontal="left"/>
    </xf>
    <xf numFmtId="0" fontId="10" fillId="12" borderId="14" xfId="5" applyFont="1" applyFill="1" applyBorder="1" applyAlignment="1">
      <alignment horizontal="left"/>
    </xf>
    <xf numFmtId="0" fontId="10" fillId="8" borderId="61" xfId="5" applyFont="1" applyFill="1" applyBorder="1" applyAlignment="1">
      <alignment horizontal="left"/>
    </xf>
    <xf numFmtId="0" fontId="8" fillId="8" borderId="6" xfId="5" applyFill="1" applyBorder="1" applyAlignment="1">
      <alignment horizontal="left"/>
    </xf>
    <xf numFmtId="0" fontId="8" fillId="8" borderId="7" xfId="5" applyFill="1" applyBorder="1" applyAlignment="1">
      <alignment horizontal="left"/>
    </xf>
    <xf numFmtId="0" fontId="8" fillId="8" borderId="99" xfId="5" applyFill="1" applyBorder="1" applyAlignment="1">
      <alignment horizontal="left"/>
    </xf>
    <xf numFmtId="0" fontId="10" fillId="0" borderId="91" xfId="5" applyFont="1" applyBorder="1" applyAlignment="1">
      <alignment horizontal="center"/>
    </xf>
    <xf numFmtId="0" fontId="10" fillId="0" borderId="54" xfId="5" applyFont="1" applyBorder="1" applyAlignment="1">
      <alignment horizontal="center"/>
    </xf>
    <xf numFmtId="174" fontId="8" fillId="8" borderId="40" xfId="60" applyNumberFormat="1" applyFont="1" applyFill="1" applyBorder="1" applyAlignment="1">
      <alignment horizontal="left"/>
    </xf>
    <xf numFmtId="174" fontId="8" fillId="8" borderId="41" xfId="60" applyNumberFormat="1" applyFill="1" applyBorder="1" applyAlignment="1">
      <alignment horizontal="left"/>
    </xf>
    <xf numFmtId="0" fontId="15" fillId="12" borderId="222" xfId="5" applyFont="1" applyFill="1" applyBorder="1" applyAlignment="1">
      <alignment horizontal="center" vertical="center" wrapText="1"/>
    </xf>
    <xf numFmtId="0" fontId="15" fillId="12" borderId="223" xfId="5" applyFont="1" applyFill="1" applyBorder="1" applyAlignment="1">
      <alignment horizontal="center" vertical="center" wrapText="1"/>
    </xf>
    <xf numFmtId="0" fontId="31" fillId="0" borderId="0" xfId="5" applyFont="1" applyAlignment="1">
      <alignment horizontal="center"/>
    </xf>
    <xf numFmtId="0" fontId="10" fillId="0" borderId="0" xfId="5" applyFont="1" applyAlignment="1">
      <alignment horizontal="center"/>
    </xf>
    <xf numFmtId="0" fontId="10" fillId="12" borderId="1" xfId="5" applyFont="1" applyFill="1" applyBorder="1" applyAlignment="1">
      <alignment horizontal="left" vertical="center" wrapText="1"/>
    </xf>
    <xf numFmtId="0" fontId="10" fillId="12" borderId="2" xfId="5" applyFont="1" applyFill="1" applyBorder="1" applyAlignment="1">
      <alignment horizontal="left" vertical="center" wrapText="1"/>
    </xf>
    <xf numFmtId="0" fontId="10" fillId="12" borderId="4" xfId="5" applyFont="1" applyFill="1" applyBorder="1" applyAlignment="1">
      <alignment horizontal="left" vertical="center" wrapText="1"/>
    </xf>
    <xf numFmtId="0" fontId="10" fillId="12" borderId="5" xfId="5" applyFont="1" applyFill="1" applyBorder="1" applyAlignment="1">
      <alignment horizontal="left" vertical="center" wrapText="1"/>
    </xf>
    <xf numFmtId="0" fontId="15" fillId="12" borderId="18" xfId="5" applyFont="1" applyFill="1" applyBorder="1" applyAlignment="1">
      <alignment horizontal="center" vertical="center" wrapText="1"/>
    </xf>
    <xf numFmtId="0" fontId="15" fillId="12" borderId="73" xfId="5" applyFont="1" applyFill="1" applyBorder="1" applyAlignment="1">
      <alignment horizontal="center" vertical="center" wrapText="1"/>
    </xf>
    <xf numFmtId="0" fontId="15" fillId="12" borderId="96" xfId="5" applyFont="1" applyFill="1" applyBorder="1" applyAlignment="1">
      <alignment horizontal="center" vertical="center" wrapText="1"/>
    </xf>
    <xf numFmtId="0" fontId="15" fillId="12" borderId="93" xfId="5" applyFont="1" applyFill="1" applyBorder="1" applyAlignment="1">
      <alignment horizontal="center" vertical="center" wrapText="1"/>
    </xf>
    <xf numFmtId="0" fontId="15" fillId="12" borderId="105" xfId="5" applyFont="1" applyFill="1" applyBorder="1" applyAlignment="1">
      <alignment horizontal="center" vertical="center" wrapText="1"/>
    </xf>
    <xf numFmtId="0" fontId="15" fillId="12" borderId="82" xfId="5" applyFont="1" applyFill="1" applyBorder="1" applyAlignment="1">
      <alignment horizontal="center" vertical="center" wrapText="1"/>
    </xf>
    <xf numFmtId="0" fontId="8" fillId="12" borderId="6" xfId="5" applyFill="1" applyBorder="1" applyAlignment="1">
      <alignment horizontal="left"/>
    </xf>
    <xf numFmtId="0" fontId="8" fillId="12" borderId="7" xfId="5" applyFill="1" applyBorder="1" applyAlignment="1">
      <alignment horizontal="left"/>
    </xf>
    <xf numFmtId="0" fontId="17" fillId="12" borderId="6" xfId="5" applyFont="1" applyFill="1" applyBorder="1" applyAlignment="1">
      <alignment horizontal="left"/>
    </xf>
    <xf numFmtId="0" fontId="17" fillId="12" borderId="7" xfId="5" applyFont="1" applyFill="1" applyBorder="1" applyAlignment="1">
      <alignment horizontal="left"/>
    </xf>
    <xf numFmtId="174" fontId="8" fillId="12" borderId="40" xfId="60" applyNumberFormat="1" applyFont="1" applyFill="1" applyBorder="1" applyAlignment="1">
      <alignment horizontal="left"/>
    </xf>
    <xf numFmtId="174" fontId="8" fillId="12" borderId="41" xfId="60" applyNumberFormat="1" applyFill="1" applyBorder="1" applyAlignment="1">
      <alignment horizontal="left"/>
    </xf>
    <xf numFmtId="0" fontId="22" fillId="12" borderId="105" xfId="5" applyFont="1" applyFill="1" applyBorder="1" applyAlignment="1">
      <alignment horizontal="center" vertical="center" wrapText="1"/>
    </xf>
    <xf numFmtId="0" fontId="22" fillId="12" borderId="82" xfId="5" applyFont="1" applyFill="1" applyBorder="1" applyAlignment="1">
      <alignment horizontal="center" vertical="center" wrapText="1"/>
    </xf>
    <xf numFmtId="0" fontId="22" fillId="12" borderId="1" xfId="5" applyFont="1" applyFill="1" applyBorder="1" applyAlignment="1">
      <alignment horizontal="center" vertical="center" wrapText="1"/>
    </xf>
    <xf numFmtId="0" fontId="22" fillId="12" borderId="4" xfId="5" applyFont="1" applyFill="1" applyBorder="1" applyAlignment="1">
      <alignment horizontal="center" vertical="center" wrapText="1"/>
    </xf>
    <xf numFmtId="0" fontId="15" fillId="12" borderId="98" xfId="5" applyFont="1" applyFill="1" applyBorder="1" applyAlignment="1">
      <alignment horizontal="center" vertical="center" wrapText="1"/>
    </xf>
    <xf numFmtId="0" fontId="15" fillId="12" borderId="72" xfId="5" applyFont="1" applyFill="1" applyBorder="1" applyAlignment="1">
      <alignment horizontal="center" vertical="center" wrapText="1"/>
    </xf>
    <xf numFmtId="0" fontId="31" fillId="12" borderId="0" xfId="5" applyFont="1" applyFill="1" applyAlignment="1">
      <alignment horizontal="center"/>
    </xf>
    <xf numFmtId="0" fontId="10" fillId="12" borderId="0" xfId="5" applyFont="1" applyFill="1" applyAlignment="1">
      <alignment horizontal="center"/>
    </xf>
    <xf numFmtId="0" fontId="10" fillId="12" borderId="1" xfId="5" applyFont="1" applyFill="1" applyBorder="1" applyAlignment="1">
      <alignment horizontal="center" vertical="center" wrapText="1"/>
    </xf>
    <xf numFmtId="0" fontId="10" fillId="12" borderId="2" xfId="5" applyFont="1" applyFill="1" applyBorder="1" applyAlignment="1">
      <alignment horizontal="center" vertical="center" wrapText="1"/>
    </xf>
    <xf numFmtId="0" fontId="10" fillId="12" borderId="25" xfId="5" applyFont="1" applyFill="1" applyBorder="1" applyAlignment="1">
      <alignment horizontal="center" vertical="center" wrapText="1"/>
    </xf>
    <xf numFmtId="0" fontId="10" fillId="12" borderId="0" xfId="5" applyFont="1" applyFill="1" applyBorder="1" applyAlignment="1">
      <alignment horizontal="center" vertical="center" wrapText="1"/>
    </xf>
    <xf numFmtId="0" fontId="10" fillId="12" borderId="4" xfId="5" applyFont="1" applyFill="1" applyBorder="1" applyAlignment="1">
      <alignment horizontal="center" vertical="center" wrapText="1"/>
    </xf>
    <xf numFmtId="0" fontId="10" fillId="12" borderId="5" xfId="5" applyFont="1" applyFill="1" applyBorder="1" applyAlignment="1">
      <alignment horizontal="center" vertical="center" wrapText="1"/>
    </xf>
    <xf numFmtId="0" fontId="9" fillId="12" borderId="1" xfId="5" applyFont="1" applyFill="1" applyBorder="1" applyAlignment="1">
      <alignment horizontal="center" vertical="center" wrapText="1"/>
    </xf>
    <xf numFmtId="0" fontId="9" fillId="12" borderId="2" xfId="5" applyFont="1" applyFill="1" applyBorder="1" applyAlignment="1">
      <alignment horizontal="center" vertical="center" wrapText="1"/>
    </xf>
    <xf numFmtId="0" fontId="9" fillId="12" borderId="3" xfId="5" applyFont="1" applyFill="1" applyBorder="1" applyAlignment="1">
      <alignment horizontal="center" vertical="center" wrapText="1"/>
    </xf>
    <xf numFmtId="0" fontId="9" fillId="12" borderId="4" xfId="5" applyFont="1" applyFill="1" applyBorder="1" applyAlignment="1">
      <alignment horizontal="center" vertical="center" wrapText="1"/>
    </xf>
    <xf numFmtId="0" fontId="9" fillId="12" borderId="5" xfId="5" applyFont="1" applyFill="1" applyBorder="1" applyAlignment="1">
      <alignment horizontal="center" vertical="center" wrapText="1"/>
    </xf>
    <xf numFmtId="0" fontId="9" fillId="12" borderId="17" xfId="5" applyFont="1" applyFill="1" applyBorder="1" applyAlignment="1">
      <alignment horizontal="center" vertical="center" wrapText="1"/>
    </xf>
    <xf numFmtId="0" fontId="9" fillId="12" borderId="97" xfId="5" applyFont="1" applyFill="1" applyBorder="1" applyAlignment="1">
      <alignment horizontal="center"/>
    </xf>
    <xf numFmtId="0" fontId="9" fillId="12" borderId="31" xfId="5" applyFont="1" applyFill="1" applyBorder="1" applyAlignment="1">
      <alignment horizontal="center"/>
    </xf>
    <xf numFmtId="0" fontId="9" fillId="12" borderId="106" xfId="5" applyFont="1" applyFill="1" applyBorder="1" applyAlignment="1">
      <alignment horizontal="center"/>
    </xf>
    <xf numFmtId="0" fontId="8" fillId="12" borderId="97" xfId="5" applyFont="1" applyFill="1" applyBorder="1" applyAlignment="1">
      <alignment horizontal="center"/>
    </xf>
    <xf numFmtId="0" fontId="8" fillId="12" borderId="31" xfId="5" applyFill="1" applyBorder="1" applyAlignment="1">
      <alignment horizontal="center"/>
    </xf>
    <xf numFmtId="0" fontId="8" fillId="12" borderId="106" xfId="5" applyFill="1" applyBorder="1" applyAlignment="1">
      <alignment horizontal="center"/>
    </xf>
    <xf numFmtId="0" fontId="22" fillId="12" borderId="96" xfId="5" applyFont="1" applyFill="1" applyBorder="1" applyAlignment="1">
      <alignment horizontal="center" vertical="center" wrapText="1"/>
    </xf>
    <xf numFmtId="0" fontId="22" fillId="12" borderId="93" xfId="5" applyFont="1" applyFill="1" applyBorder="1" applyAlignment="1">
      <alignment horizontal="center" vertical="center" wrapText="1"/>
    </xf>
    <xf numFmtId="0" fontId="8" fillId="12" borderId="226" xfId="5" applyFill="1" applyBorder="1" applyAlignment="1">
      <alignment horizontal="left"/>
    </xf>
    <xf numFmtId="0" fontId="8" fillId="12" borderId="145" xfId="5" applyFill="1" applyBorder="1" applyAlignment="1">
      <alignment horizontal="left"/>
    </xf>
    <xf numFmtId="174" fontId="8" fillId="12" borderId="37" xfId="60" applyNumberFormat="1" applyFont="1" applyFill="1" applyBorder="1" applyAlignment="1">
      <alignment horizontal="left"/>
    </xf>
    <xf numFmtId="174" fontId="8" fillId="12" borderId="38" xfId="60" applyNumberFormat="1" applyFill="1" applyBorder="1" applyAlignment="1">
      <alignment horizontal="left"/>
    </xf>
    <xf numFmtId="174" fontId="8" fillId="12" borderId="50" xfId="60" applyNumberFormat="1" applyFill="1" applyBorder="1" applyAlignment="1">
      <alignment horizontal="left"/>
    </xf>
    <xf numFmtId="0" fontId="100" fillId="0" borderId="0" xfId="5" applyFont="1" applyBorder="1" applyAlignment="1">
      <alignment horizontal="center" vertical="center"/>
    </xf>
    <xf numFmtId="0" fontId="79" fillId="0" borderId="227" xfId="5" applyFont="1" applyBorder="1" applyAlignment="1">
      <alignment horizontal="center" vertical="center" wrapText="1"/>
    </xf>
    <xf numFmtId="0" fontId="79" fillId="0" borderId="228" xfId="5" applyFont="1" applyBorder="1" applyAlignment="1">
      <alignment horizontal="center" vertical="center" wrapText="1"/>
    </xf>
    <xf numFmtId="0" fontId="47" fillId="0" borderId="227" xfId="5" applyFont="1" applyBorder="1" applyAlignment="1">
      <alignment horizontal="center" vertical="center" wrapText="1"/>
    </xf>
    <xf numFmtId="0" fontId="47" fillId="0" borderId="228" xfId="5" applyFont="1" applyBorder="1" applyAlignment="1">
      <alignment horizontal="center" vertical="center" wrapText="1"/>
    </xf>
    <xf numFmtId="0" fontId="10" fillId="0" borderId="227" xfId="5" applyFont="1" applyBorder="1" applyAlignment="1">
      <alignment horizontal="center" vertical="center" textRotation="90" wrapText="1"/>
    </xf>
    <xf numFmtId="0" fontId="10" fillId="0" borderId="0" xfId="5" applyFont="1" applyBorder="1" applyAlignment="1">
      <alignment horizontal="center" vertical="center" textRotation="90" wrapText="1"/>
    </xf>
    <xf numFmtId="0" fontId="9" fillId="0" borderId="0" xfId="5" applyFont="1" applyAlignment="1">
      <alignment horizontal="center"/>
    </xf>
    <xf numFmtId="0" fontId="10" fillId="0" borderId="1" xfId="5" applyFont="1" applyBorder="1" applyAlignment="1">
      <alignment horizontal="center" vertical="center" wrapText="1"/>
    </xf>
    <xf numFmtId="0" fontId="10" fillId="0" borderId="25" xfId="5" applyFont="1" applyBorder="1" applyAlignment="1">
      <alignment horizontal="center" vertical="center" wrapText="1"/>
    </xf>
    <xf numFmtId="0" fontId="10" fillId="0" borderId="4" xfId="5" applyFont="1" applyBorder="1" applyAlignment="1">
      <alignment horizontal="center" vertical="center" wrapText="1"/>
    </xf>
    <xf numFmtId="0" fontId="10" fillId="0" borderId="2" xfId="5" applyFont="1" applyBorder="1" applyAlignment="1">
      <alignment horizontal="center" wrapText="1"/>
    </xf>
    <xf numFmtId="0" fontId="10" fillId="0" borderId="0" xfId="5" applyFont="1" applyBorder="1" applyAlignment="1">
      <alignment horizontal="center"/>
    </xf>
    <xf numFmtId="0" fontId="31" fillId="0" borderId="0" xfId="5" applyFont="1" applyAlignment="1">
      <alignment horizontal="center" wrapText="1"/>
    </xf>
    <xf numFmtId="0" fontId="8" fillId="0" borderId="0" xfId="5" applyAlignment="1">
      <alignment wrapText="1"/>
    </xf>
    <xf numFmtId="0" fontId="9" fillId="0" borderId="0" xfId="5" applyFont="1" applyAlignment="1">
      <alignment horizontal="center" wrapText="1"/>
    </xf>
    <xf numFmtId="0" fontId="9" fillId="0" borderId="96" xfId="5" applyFont="1" applyBorder="1" applyAlignment="1">
      <alignment horizontal="center" vertical="center" wrapText="1"/>
    </xf>
    <xf numFmtId="0" fontId="9" fillId="0" borderId="2" xfId="5" applyFont="1" applyBorder="1" applyAlignment="1">
      <alignment horizontal="center" vertical="center" wrapText="1"/>
    </xf>
    <xf numFmtId="0" fontId="9" fillId="0" borderId="3" xfId="5" applyFont="1" applyBorder="1" applyAlignment="1">
      <alignment horizontal="center" vertical="center" wrapText="1"/>
    </xf>
    <xf numFmtId="0" fontId="9" fillId="0" borderId="219" xfId="5" applyFont="1" applyBorder="1" applyAlignment="1">
      <alignment horizontal="center" vertical="center" wrapText="1"/>
    </xf>
    <xf numFmtId="0" fontId="9" fillId="0" borderId="113" xfId="5" applyFont="1" applyBorder="1" applyAlignment="1">
      <alignment horizontal="center" vertical="center" wrapText="1"/>
    </xf>
    <xf numFmtId="0" fontId="9" fillId="0" borderId="229" xfId="5" applyFont="1" applyBorder="1" applyAlignment="1">
      <alignment horizontal="center" vertical="center" wrapText="1"/>
    </xf>
    <xf numFmtId="0" fontId="8" fillId="0" borderId="103" xfId="5" applyBorder="1" applyAlignment="1">
      <alignment horizontal="center" wrapText="1"/>
    </xf>
    <xf numFmtId="0" fontId="8" fillId="0" borderId="75" xfId="5" applyBorder="1" applyAlignment="1">
      <alignment horizontal="center" wrapText="1"/>
    </xf>
    <xf numFmtId="0" fontId="8" fillId="0" borderId="85" xfId="5" applyBorder="1" applyAlignment="1">
      <alignment horizontal="center" wrapText="1"/>
    </xf>
    <xf numFmtId="0" fontId="8" fillId="0" borderId="0" xfId="5" applyFont="1" applyBorder="1" applyAlignment="1">
      <alignment horizontal="center" vertical="center" wrapText="1"/>
    </xf>
    <xf numFmtId="0" fontId="8" fillId="0" borderId="0" xfId="5" applyBorder="1" applyAlignment="1">
      <alignment horizontal="center" vertical="center" wrapText="1"/>
    </xf>
    <xf numFmtId="0" fontId="8" fillId="0" borderId="5" xfId="5" applyBorder="1" applyAlignment="1">
      <alignment horizontal="center" vertical="center" wrapText="1"/>
    </xf>
    <xf numFmtId="0" fontId="8" fillId="0" borderId="220" xfId="5" applyFont="1" applyBorder="1" applyAlignment="1">
      <alignment horizontal="center"/>
    </xf>
    <xf numFmtId="0" fontId="8" fillId="0" borderId="218" xfId="5" applyBorder="1" applyAlignment="1">
      <alignment horizontal="center"/>
    </xf>
    <xf numFmtId="0" fontId="8" fillId="0" borderId="230" xfId="5" applyBorder="1" applyAlignment="1">
      <alignment horizontal="center"/>
    </xf>
    <xf numFmtId="0" fontId="8" fillId="0" borderId="217" xfId="5" applyFont="1" applyBorder="1" applyAlignment="1">
      <alignment horizontal="center" wrapText="1"/>
    </xf>
    <xf numFmtId="0" fontId="8" fillId="0" borderId="217" xfId="5" applyBorder="1" applyAlignment="1">
      <alignment horizontal="center" wrapText="1"/>
    </xf>
    <xf numFmtId="0" fontId="8" fillId="0" borderId="232" xfId="5" applyBorder="1" applyAlignment="1">
      <alignment horizontal="center" wrapText="1"/>
    </xf>
    <xf numFmtId="0" fontId="32" fillId="0" borderId="75" xfId="5" applyFont="1" applyBorder="1" applyAlignment="1">
      <alignment horizontal="center" vertical="center" textRotation="90" wrapText="1"/>
    </xf>
    <xf numFmtId="0" fontId="19" fillId="0" borderId="145" xfId="5" applyFont="1" applyBorder="1" applyAlignment="1">
      <alignment horizontal="center" vertical="center" wrapText="1"/>
    </xf>
    <xf numFmtId="0" fontId="19" fillId="0" borderId="73" xfId="5" applyFont="1" applyBorder="1" applyAlignment="1">
      <alignment horizontal="center" vertical="center" wrapText="1"/>
    </xf>
    <xf numFmtId="0" fontId="19" fillId="0" borderId="93" xfId="5" applyFont="1" applyBorder="1" applyAlignment="1">
      <alignment horizontal="center" vertical="center" wrapText="1"/>
    </xf>
    <xf numFmtId="0" fontId="8" fillId="0" borderId="220" xfId="5" applyBorder="1" applyAlignment="1">
      <alignment horizontal="center"/>
    </xf>
    <xf numFmtId="0" fontId="8" fillId="0" borderId="231" xfId="5" applyBorder="1" applyAlignment="1">
      <alignment horizontal="center"/>
    </xf>
    <xf numFmtId="0" fontId="49" fillId="0" borderId="0" xfId="5" applyFont="1" applyBorder="1" applyAlignment="1">
      <alignment horizontal="center" vertical="center" wrapText="1"/>
    </xf>
    <xf numFmtId="0" fontId="49" fillId="0" borderId="165" xfId="5" applyFont="1" applyBorder="1" applyAlignment="1">
      <alignment horizontal="center" vertical="center" wrapText="1"/>
    </xf>
    <xf numFmtId="0" fontId="47" fillId="0" borderId="159" xfId="5" applyFont="1" applyBorder="1" applyAlignment="1">
      <alignment horizontal="center" vertical="center" wrapText="1"/>
    </xf>
    <xf numFmtId="0" fontId="47" fillId="0" borderId="0" xfId="5" applyFont="1" applyBorder="1" applyAlignment="1">
      <alignment horizontal="center" vertical="center" wrapText="1"/>
    </xf>
    <xf numFmtId="0" fontId="15" fillId="0" borderId="0" xfId="5" applyFont="1" applyBorder="1" applyAlignment="1">
      <alignment horizontal="center" vertical="center" textRotation="90" wrapText="1"/>
    </xf>
    <xf numFmtId="0" fontId="31" fillId="0" borderId="0" xfId="5" applyFont="1" applyAlignment="1">
      <alignment horizontal="center" vertical="center" wrapText="1"/>
    </xf>
    <xf numFmtId="0" fontId="10" fillId="0" borderId="3" xfId="5" applyFont="1" applyBorder="1" applyAlignment="1">
      <alignment horizontal="center" wrapText="1"/>
    </xf>
    <xf numFmtId="0" fontId="15" fillId="0" borderId="0" xfId="5" applyFont="1" applyBorder="1" applyAlignment="1">
      <alignment horizontal="center" vertical="center"/>
    </xf>
    <xf numFmtId="0" fontId="80" fillId="0" borderId="159" xfId="5" applyFont="1" applyBorder="1" applyAlignment="1">
      <alignment horizontal="center" vertical="center" wrapText="1"/>
    </xf>
    <xf numFmtId="0" fontId="80" fillId="0" borderId="114" xfId="5" applyFont="1" applyBorder="1" applyAlignment="1">
      <alignment horizontal="center" vertical="center" wrapText="1"/>
    </xf>
    <xf numFmtId="0" fontId="15" fillId="0" borderId="163" xfId="5" applyFont="1" applyBorder="1" applyAlignment="1">
      <alignment horizontal="center" vertical="center" textRotation="90" wrapText="1"/>
    </xf>
    <xf numFmtId="165" fontId="22" fillId="0" borderId="97" xfId="2" applyNumberFormat="1" applyFont="1" applyBorder="1" applyAlignment="1">
      <alignment horizontal="center"/>
    </xf>
    <xf numFmtId="165" fontId="22" fillId="0" borderId="76" xfId="2" applyNumberFormat="1" applyFont="1" applyBorder="1" applyAlignment="1">
      <alignment horizontal="center"/>
    </xf>
    <xf numFmtId="0" fontId="8" fillId="0" borderId="0" xfId="5" applyAlignment="1">
      <alignment vertical="center" wrapText="1"/>
    </xf>
    <xf numFmtId="165" fontId="8" fillId="0" borderId="0" xfId="2" applyNumberFormat="1" applyFont="1" applyAlignment="1">
      <alignment horizontal="center" vertical="center" wrapText="1"/>
    </xf>
    <xf numFmtId="0" fontId="8" fillId="0" borderId="0" xfId="5" applyAlignment="1">
      <alignment horizontal="center" vertical="center" wrapText="1"/>
    </xf>
    <xf numFmtId="165" fontId="10" fillId="0" borderId="7" xfId="2" applyNumberFormat="1" applyFont="1" applyBorder="1" applyAlignment="1">
      <alignment horizontal="center" vertical="center" wrapText="1"/>
    </xf>
    <xf numFmtId="0" fontId="10" fillId="0" borderId="142" xfId="0" applyFont="1" applyBorder="1" applyAlignment="1">
      <alignment horizontal="center" vertical="center" wrapText="1"/>
    </xf>
    <xf numFmtId="0" fontId="10" fillId="0" borderId="7" xfId="0" applyFont="1" applyBorder="1" applyAlignment="1">
      <alignment horizontal="center"/>
    </xf>
    <xf numFmtId="0" fontId="10" fillId="0" borderId="8" xfId="0" applyFont="1" applyBorder="1" applyAlignment="1">
      <alignment horizontal="center"/>
    </xf>
    <xf numFmtId="0" fontId="10" fillId="0" borderId="0" xfId="0" applyFont="1" applyAlignment="1">
      <alignment horizontal="center" wrapText="1"/>
    </xf>
    <xf numFmtId="168" fontId="16" fillId="0" borderId="0" xfId="5" applyNumberFormat="1" applyFont="1" applyBorder="1" applyAlignment="1">
      <alignment horizontal="center" vertical="center" wrapText="1"/>
    </xf>
    <xf numFmtId="0" fontId="10" fillId="0" borderId="10" xfId="0" applyFont="1" applyBorder="1" applyAlignment="1">
      <alignment horizontal="center" vertical="center" wrapText="1"/>
    </xf>
    <xf numFmtId="0" fontId="82" fillId="11" borderId="116" xfId="5" applyFont="1" applyFill="1" applyBorder="1" applyAlignment="1">
      <alignment horizontal="center" vertical="center" wrapText="1"/>
    </xf>
    <xf numFmtId="0" fontId="82" fillId="11" borderId="120" xfId="5" applyFont="1" applyFill="1" applyBorder="1" applyAlignment="1">
      <alignment horizontal="center" vertical="center" wrapText="1"/>
    </xf>
    <xf numFmtId="0" fontId="82" fillId="11" borderId="123" xfId="5" applyFont="1" applyFill="1" applyBorder="1" applyAlignment="1">
      <alignment horizontal="center" vertical="center" wrapText="1"/>
    </xf>
    <xf numFmtId="0" fontId="82" fillId="11" borderId="0" xfId="5" applyFont="1" applyFill="1" applyBorder="1" applyAlignment="1">
      <alignment horizontal="center" vertical="center" wrapText="1"/>
    </xf>
    <xf numFmtId="0" fontId="82" fillId="13" borderId="202" xfId="5" applyFont="1" applyFill="1" applyBorder="1" applyAlignment="1">
      <alignment horizontal="center"/>
    </xf>
    <xf numFmtId="0" fontId="82" fillId="13" borderId="203" xfId="5" applyFont="1" applyFill="1" applyBorder="1" applyAlignment="1">
      <alignment horizontal="center"/>
    </xf>
    <xf numFmtId="0" fontId="82" fillId="13" borderId="204" xfId="5" applyFont="1" applyFill="1" applyBorder="1" applyAlignment="1">
      <alignment horizontal="center"/>
    </xf>
    <xf numFmtId="0" fontId="65" fillId="11" borderId="170" xfId="5" applyFont="1" applyFill="1" applyBorder="1" applyAlignment="1">
      <alignment vertical="center" wrapText="1"/>
    </xf>
    <xf numFmtId="0" fontId="65" fillId="11" borderId="171" xfId="5" applyFont="1" applyFill="1" applyBorder="1" applyAlignment="1">
      <alignment vertical="center" wrapText="1"/>
    </xf>
    <xf numFmtId="0" fontId="65" fillId="11" borderId="177" xfId="5" applyFont="1" applyFill="1" applyBorder="1" applyAlignment="1">
      <alignment vertical="center"/>
    </xf>
    <xf numFmtId="0" fontId="65" fillId="11" borderId="178" xfId="5" applyFont="1" applyFill="1" applyBorder="1" applyAlignment="1">
      <alignment vertical="center"/>
    </xf>
    <xf numFmtId="0" fontId="82" fillId="11" borderId="210" xfId="5" applyFont="1" applyFill="1" applyBorder="1" applyAlignment="1">
      <alignment horizontal="center"/>
    </xf>
    <xf numFmtId="0" fontId="82" fillId="11" borderId="120" xfId="5" applyFont="1" applyFill="1" applyBorder="1" applyAlignment="1">
      <alignment horizontal="center"/>
    </xf>
    <xf numFmtId="0" fontId="82" fillId="11" borderId="121" xfId="5" applyFont="1" applyFill="1" applyBorder="1" applyAlignment="1">
      <alignment horizontal="center"/>
    </xf>
    <xf numFmtId="0" fontId="65" fillId="11" borderId="172" xfId="5" applyFont="1" applyFill="1" applyBorder="1" applyAlignment="1">
      <alignment vertical="center" wrapText="1"/>
    </xf>
    <xf numFmtId="0" fontId="89" fillId="16" borderId="188" xfId="5" applyFont="1" applyFill="1" applyBorder="1" applyAlignment="1">
      <alignment horizontal="center" vertical="top" wrapText="1"/>
    </xf>
    <xf numFmtId="0" fontId="89" fillId="16" borderId="190" xfId="5" applyFont="1" applyFill="1" applyBorder="1" applyAlignment="1">
      <alignment horizontal="center" vertical="top" wrapText="1"/>
    </xf>
    <xf numFmtId="2" fontId="90" fillId="16" borderId="145" xfId="5" applyNumberFormat="1" applyFont="1" applyFill="1" applyBorder="1" applyAlignment="1">
      <alignment horizontal="center" vertical="center" wrapText="1"/>
    </xf>
    <xf numFmtId="2" fontId="90" fillId="16" borderId="191" xfId="5" applyNumberFormat="1" applyFont="1" applyFill="1" applyBorder="1" applyAlignment="1">
      <alignment horizontal="center" vertical="center" wrapText="1"/>
    </xf>
    <xf numFmtId="0" fontId="19" fillId="0" borderId="145" xfId="5" applyFont="1" applyBorder="1" applyAlignment="1">
      <alignment horizontal="center" vertical="center"/>
    </xf>
    <xf numFmtId="0" fontId="19" fillId="0" borderId="191" xfId="5" applyFont="1" applyBorder="1" applyAlignment="1">
      <alignment horizontal="center" vertical="center"/>
    </xf>
    <xf numFmtId="0" fontId="90" fillId="16" borderId="145" xfId="5" applyFont="1" applyFill="1" applyBorder="1" applyAlignment="1">
      <alignment horizontal="center" vertical="top" wrapText="1"/>
    </xf>
    <xf numFmtId="0" fontId="90" fillId="16" borderId="191" xfId="5" applyFont="1" applyFill="1" applyBorder="1" applyAlignment="1">
      <alignment horizontal="center" vertical="top" wrapText="1"/>
    </xf>
    <xf numFmtId="0" fontId="27" fillId="0" borderId="145" xfId="5" applyFont="1" applyBorder="1" applyAlignment="1" applyProtection="1">
      <alignment horizontal="center" vertical="center" wrapText="1"/>
      <protection locked="0"/>
    </xf>
    <xf numFmtId="0" fontId="27" fillId="0" borderId="191" xfId="5" applyFont="1" applyBorder="1" applyAlignment="1" applyProtection="1">
      <alignment horizontal="center" vertical="center" wrapText="1"/>
      <protection locked="0"/>
    </xf>
    <xf numFmtId="0" fontId="9" fillId="0" borderId="0" xfId="5" applyFont="1" applyAlignment="1" applyProtection="1">
      <alignment horizontal="center" vertical="center"/>
      <protection locked="0"/>
    </xf>
    <xf numFmtId="0" fontId="88" fillId="0" borderId="0" xfId="61" applyFont="1" applyBorder="1" applyAlignment="1">
      <alignment horizontal="center" vertical="center" wrapText="1"/>
    </xf>
    <xf numFmtId="0" fontId="88" fillId="0" borderId="186" xfId="61" applyFont="1" applyBorder="1" applyAlignment="1">
      <alignment horizontal="center" vertical="center" wrapText="1"/>
    </xf>
    <xf numFmtId="0" fontId="10" fillId="0" borderId="187" xfId="5" applyFont="1" applyBorder="1" applyAlignment="1" applyProtection="1">
      <alignment horizontal="center" vertical="center" wrapText="1"/>
      <protection locked="0"/>
    </xf>
    <xf numFmtId="0" fontId="10" fillId="0" borderId="186" xfId="5" applyFont="1" applyBorder="1" applyAlignment="1" applyProtection="1">
      <alignment horizontal="center" vertical="center" wrapText="1"/>
      <protection locked="0"/>
    </xf>
    <xf numFmtId="0" fontId="89" fillId="0" borderId="113" xfId="61" applyFont="1" applyBorder="1" applyAlignment="1">
      <alignment horizontal="center" vertical="center" wrapText="1"/>
    </xf>
    <xf numFmtId="0" fontId="89" fillId="0" borderId="189" xfId="61" applyFont="1" applyBorder="1" applyAlignment="1">
      <alignment horizontal="center" vertical="center" wrapText="1"/>
    </xf>
    <xf numFmtId="0" fontId="12" fillId="0" borderId="0" xfId="0" applyFont="1" applyAlignment="1">
      <alignment horizontal="center" wrapText="1"/>
    </xf>
    <xf numFmtId="0" fontId="61" fillId="13" borderId="122" xfId="0" applyFont="1" applyFill="1" applyBorder="1" applyAlignment="1">
      <alignment horizontal="center" vertical="center" wrapText="1"/>
    </xf>
    <xf numFmtId="0" fontId="10" fillId="0" borderId="130" xfId="0" applyFont="1" applyBorder="1" applyAlignment="1">
      <alignment wrapText="1"/>
    </xf>
    <xf numFmtId="0" fontId="10" fillId="0" borderId="140" xfId="0" applyFont="1" applyBorder="1" applyAlignment="1">
      <alignment wrapText="1"/>
    </xf>
    <xf numFmtId="0" fontId="64" fillId="13" borderId="126" xfId="61" applyFont="1" applyFill="1" applyBorder="1" applyAlignment="1">
      <alignment horizontal="center" vertical="center" wrapText="1"/>
    </xf>
    <xf numFmtId="0" fontId="64" fillId="13" borderId="127" xfId="61" applyFont="1" applyFill="1" applyBorder="1" applyAlignment="1">
      <alignment horizontal="center" vertical="center" wrapText="1"/>
    </xf>
    <xf numFmtId="0" fontId="64" fillId="13" borderId="128" xfId="61" applyFont="1" applyFill="1" applyBorder="1" applyAlignment="1">
      <alignment horizontal="center" vertical="center" wrapText="1"/>
    </xf>
    <xf numFmtId="0" fontId="62" fillId="13" borderId="118" xfId="61" applyFont="1" applyFill="1" applyBorder="1" applyAlignment="1">
      <alignment horizontal="center" vertical="center" wrapText="1"/>
    </xf>
    <xf numFmtId="0" fontId="26" fillId="0" borderId="125" xfId="0" applyFont="1" applyBorder="1" applyAlignment="1">
      <alignment wrapText="1"/>
    </xf>
    <xf numFmtId="0" fontId="26" fillId="0" borderId="136" xfId="0" applyFont="1" applyBorder="1" applyAlignment="1">
      <alignment wrapText="1"/>
    </xf>
    <xf numFmtId="0" fontId="62" fillId="13" borderId="125" xfId="61" applyFont="1" applyFill="1" applyBorder="1" applyAlignment="1">
      <alignment horizontal="center" vertical="center" wrapText="1"/>
    </xf>
    <xf numFmtId="0" fontId="62" fillId="13" borderId="136" xfId="61" applyFont="1" applyFill="1" applyBorder="1" applyAlignment="1">
      <alignment horizontal="center" vertical="center" wrapText="1"/>
    </xf>
    <xf numFmtId="2" fontId="87" fillId="0" borderId="214" xfId="0" applyNumberFormat="1" applyFont="1" applyBorder="1" applyAlignment="1">
      <alignment horizontal="center" vertical="center" wrapText="1"/>
    </xf>
    <xf numFmtId="2" fontId="87" fillId="0" borderId="2" xfId="0" applyNumberFormat="1" applyFont="1" applyBorder="1" applyAlignment="1">
      <alignment horizontal="center" vertical="center" wrapText="1"/>
    </xf>
    <xf numFmtId="2" fontId="87" fillId="0" borderId="215" xfId="0" applyNumberFormat="1" applyFont="1" applyBorder="1" applyAlignment="1">
      <alignment horizontal="center" vertical="center" wrapText="1"/>
    </xf>
    <xf numFmtId="2" fontId="87" fillId="0" borderId="5" xfId="0" applyNumberFormat="1" applyFont="1" applyBorder="1" applyAlignment="1">
      <alignment horizontal="center" vertical="center" wrapText="1"/>
    </xf>
    <xf numFmtId="0" fontId="64" fillId="13" borderId="126" xfId="0" applyFont="1" applyFill="1" applyBorder="1" applyAlignment="1">
      <alignment horizontal="center" vertical="center"/>
    </xf>
    <xf numFmtId="0" fontId="64" fillId="13" borderId="127" xfId="0" applyFont="1" applyFill="1" applyBorder="1" applyAlignment="1">
      <alignment horizontal="center" vertical="center"/>
    </xf>
    <xf numFmtId="0" fontId="64" fillId="13" borderId="129" xfId="0" applyFont="1" applyFill="1" applyBorder="1" applyAlignment="1">
      <alignment horizontal="center" vertical="center"/>
    </xf>
    <xf numFmtId="0" fontId="65" fillId="13" borderId="175" xfId="0" applyFont="1" applyFill="1" applyBorder="1" applyAlignment="1">
      <alignment horizontal="center"/>
    </xf>
    <xf numFmtId="0" fontId="65" fillId="13" borderId="171" xfId="0" applyFont="1" applyFill="1" applyBorder="1" applyAlignment="1">
      <alignment horizontal="center"/>
    </xf>
    <xf numFmtId="0" fontId="65" fillId="13" borderId="216" xfId="0" applyFont="1" applyFill="1" applyBorder="1" applyAlignment="1">
      <alignment horizontal="center"/>
    </xf>
    <xf numFmtId="0" fontId="64" fillId="13" borderId="131" xfId="0" applyFont="1" applyFill="1" applyBorder="1" applyAlignment="1">
      <alignment horizontal="center"/>
    </xf>
    <xf numFmtId="0" fontId="64" fillId="13" borderId="0" xfId="0" applyFont="1" applyFill="1" applyBorder="1" applyAlignment="1">
      <alignment horizontal="center"/>
    </xf>
    <xf numFmtId="0" fontId="64" fillId="13" borderId="124" xfId="0" applyFont="1" applyFill="1" applyBorder="1" applyAlignment="1">
      <alignment horizontal="center"/>
    </xf>
    <xf numFmtId="0" fontId="66" fillId="13" borderId="133" xfId="0" applyFont="1" applyFill="1" applyBorder="1" applyAlignment="1" applyProtection="1">
      <alignment horizontal="center" vertical="center" wrapText="1"/>
    </xf>
    <xf numFmtId="0" fontId="66" fillId="13" borderId="137" xfId="0" applyFont="1" applyFill="1" applyBorder="1" applyAlignment="1" applyProtection="1">
      <alignment horizontal="center" vertical="center" wrapText="1"/>
    </xf>
    <xf numFmtId="0" fontId="66" fillId="13" borderId="134" xfId="0" applyFont="1" applyFill="1" applyBorder="1" applyAlignment="1" applyProtection="1">
      <alignment horizontal="center" vertical="center" wrapText="1"/>
    </xf>
    <xf numFmtId="0" fontId="66" fillId="13" borderId="138" xfId="0" applyFont="1" applyFill="1" applyBorder="1" applyAlignment="1" applyProtection="1">
      <alignment horizontal="center" vertical="center" wrapText="1"/>
    </xf>
    <xf numFmtId="0" fontId="65" fillId="13" borderId="0" xfId="0" applyFont="1" applyFill="1" applyBorder="1" applyAlignment="1">
      <alignment horizontal="center"/>
    </xf>
    <xf numFmtId="0" fontId="65" fillId="13" borderId="132" xfId="0" applyFont="1" applyFill="1" applyBorder="1" applyAlignment="1">
      <alignment horizontal="center"/>
    </xf>
    <xf numFmtId="0" fontId="66" fillId="13" borderId="135" xfId="0" applyFont="1" applyFill="1" applyBorder="1" applyAlignment="1" applyProtection="1">
      <alignment horizontal="center" vertical="center" wrapText="1"/>
    </xf>
    <xf numFmtId="0" fontId="66" fillId="13" borderId="139" xfId="0" applyFont="1" applyFill="1" applyBorder="1" applyAlignment="1" applyProtection="1">
      <alignment horizontal="center" vertical="center" wrapText="1"/>
    </xf>
    <xf numFmtId="0" fontId="65" fillId="13" borderId="127" xfId="61" applyFont="1" applyFill="1" applyBorder="1" applyAlignment="1">
      <alignment horizontal="center" vertical="center" wrapText="1"/>
    </xf>
    <xf numFmtId="0" fontId="65" fillId="13" borderId="129" xfId="61" applyFont="1" applyFill="1" applyBorder="1" applyAlignment="1">
      <alignment horizontal="center" vertical="center" wrapText="1"/>
    </xf>
    <xf numFmtId="0" fontId="83" fillId="13" borderId="131" xfId="0" applyFont="1" applyFill="1" applyBorder="1" applyAlignment="1">
      <alignment horizontal="center"/>
    </xf>
    <xf numFmtId="0" fontId="83" fillId="13" borderId="0" xfId="0" applyFont="1" applyFill="1" applyBorder="1" applyAlignment="1">
      <alignment horizontal="center"/>
    </xf>
    <xf numFmtId="0" fontId="83" fillId="13" borderId="124" xfId="0" applyFont="1" applyFill="1" applyBorder="1" applyAlignment="1">
      <alignment horizontal="center"/>
    </xf>
    <xf numFmtId="0" fontId="11" fillId="0" borderId="1" xfId="0" applyFont="1" applyBorder="1" applyAlignment="1">
      <alignment horizontal="center" vertical="center" wrapText="1"/>
    </xf>
    <xf numFmtId="0" fontId="0" fillId="0" borderId="4" xfId="0" applyBorder="1" applyAlignment="1">
      <alignment horizontal="center" vertical="center" wrapText="1"/>
    </xf>
    <xf numFmtId="0" fontId="10" fillId="10" borderId="96"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0" fillId="0" borderId="58" xfId="0" applyBorder="1" applyAlignment="1">
      <alignment horizontal="center" vertical="center" wrapText="1"/>
    </xf>
    <xf numFmtId="0" fontId="0" fillId="0" borderId="57" xfId="0" applyBorder="1" applyAlignment="1">
      <alignment horizontal="center" vertical="center" wrapText="1"/>
    </xf>
    <xf numFmtId="9" fontId="10" fillId="2" borderId="30" xfId="0" applyNumberFormat="1" applyFont="1" applyFill="1" applyBorder="1" applyAlignment="1">
      <alignment horizontal="center" wrapText="1"/>
    </xf>
    <xf numFmtId="9" fontId="10" fillId="2" borderId="83" xfId="0" applyNumberFormat="1" applyFont="1" applyFill="1" applyBorder="1" applyAlignment="1">
      <alignment horizontal="center" wrapText="1"/>
    </xf>
    <xf numFmtId="9" fontId="10" fillId="2" borderId="58" xfId="0" applyNumberFormat="1" applyFont="1" applyFill="1" applyBorder="1" applyAlignment="1">
      <alignment horizontal="center" wrapText="1"/>
    </xf>
    <xf numFmtId="9" fontId="10" fillId="2" borderId="22" xfId="0" applyNumberFormat="1" applyFont="1" applyFill="1" applyBorder="1" applyAlignment="1">
      <alignment horizontal="center" wrapText="1"/>
    </xf>
    <xf numFmtId="9" fontId="10" fillId="10" borderId="30" xfId="0" applyNumberFormat="1" applyFont="1" applyFill="1" applyBorder="1" applyAlignment="1">
      <alignment horizontal="center" wrapText="1"/>
    </xf>
    <xf numFmtId="0" fontId="10" fillId="0" borderId="102" xfId="0" applyFont="1" applyBorder="1" applyAlignment="1">
      <alignment horizontal="center" wrapText="1"/>
    </xf>
    <xf numFmtId="0" fontId="10" fillId="0" borderId="58" xfId="0" applyFont="1" applyBorder="1" applyAlignment="1">
      <alignment horizontal="center" wrapText="1"/>
    </xf>
    <xf numFmtId="0" fontId="10" fillId="0" borderId="57" xfId="0" applyFont="1" applyBorder="1" applyAlignment="1">
      <alignment horizontal="center" wrapText="1"/>
    </xf>
    <xf numFmtId="0" fontId="10" fillId="3" borderId="96"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0" fillId="0" borderId="28" xfId="0" applyBorder="1" applyAlignment="1">
      <alignment horizontal="center" vertical="center" wrapText="1"/>
    </xf>
    <xf numFmtId="0" fontId="10" fillId="2" borderId="96" xfId="0" applyFont="1" applyFill="1" applyBorder="1" applyAlignment="1">
      <alignment horizontal="center" vertical="center" wrapText="1"/>
    </xf>
    <xf numFmtId="0" fontId="10" fillId="2" borderId="103" xfId="0" applyFont="1" applyFill="1" applyBorder="1" applyAlignment="1">
      <alignment horizontal="center" vertical="center" wrapText="1"/>
    </xf>
    <xf numFmtId="0" fontId="0" fillId="0" borderId="22" xfId="0" applyBorder="1" applyAlignment="1">
      <alignment horizontal="center" vertical="center" wrapText="1"/>
    </xf>
    <xf numFmtId="0" fontId="8" fillId="3" borderId="30" xfId="0" applyFont="1" applyFill="1" applyBorder="1" applyAlignment="1">
      <alignment horizontal="center" vertical="center" wrapText="1"/>
    </xf>
    <xf numFmtId="0" fontId="0" fillId="0" borderId="83" xfId="0" applyBorder="1" applyAlignment="1">
      <alignment horizontal="center" vertical="center" wrapText="1"/>
    </xf>
    <xf numFmtId="0" fontId="10" fillId="0" borderId="9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03"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5" xfId="0" applyFont="1" applyBorder="1" applyAlignment="1">
      <alignment horizontal="center" vertical="center" wrapText="1"/>
    </xf>
    <xf numFmtId="0" fontId="15" fillId="8" borderId="30" xfId="0" applyFont="1" applyFill="1" applyBorder="1" applyAlignment="1">
      <alignment horizontal="center" vertical="center" wrapText="1"/>
    </xf>
    <xf numFmtId="0" fontId="15" fillId="8" borderId="77" xfId="0" applyFont="1" applyFill="1" applyBorder="1" applyAlignment="1">
      <alignment horizontal="center" vertical="center" wrapText="1"/>
    </xf>
    <xf numFmtId="0" fontId="15" fillId="8" borderId="83" xfId="0" applyFont="1" applyFill="1" applyBorder="1" applyAlignment="1">
      <alignment horizontal="center" vertical="center" wrapText="1"/>
    </xf>
    <xf numFmtId="0" fontId="15" fillId="8" borderId="58" xfId="0" applyFont="1" applyFill="1" applyBorder="1" applyAlignment="1">
      <alignment horizontal="center" vertical="center" wrapText="1"/>
    </xf>
    <xf numFmtId="0" fontId="15" fillId="8" borderId="28"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0" fillId="12" borderId="30" xfId="0" applyFont="1" applyFill="1" applyBorder="1" applyAlignment="1">
      <alignment horizontal="center" vertical="center" wrapText="1"/>
    </xf>
    <xf numFmtId="0" fontId="10" fillId="12" borderId="83" xfId="0" applyFont="1" applyFill="1" applyBorder="1" applyAlignment="1">
      <alignment horizontal="center" vertical="center" wrapText="1"/>
    </xf>
    <xf numFmtId="0" fontId="10" fillId="12" borderId="154" xfId="0" applyFont="1" applyFill="1" applyBorder="1" applyAlignment="1">
      <alignment horizontal="center" vertical="center" wrapText="1"/>
    </xf>
    <xf numFmtId="0" fontId="10" fillId="12" borderId="192" xfId="0" applyFont="1" applyFill="1" applyBorder="1" applyAlignment="1">
      <alignment horizontal="center" vertical="center" wrapText="1"/>
    </xf>
    <xf numFmtId="0" fontId="10" fillId="12" borderId="24" xfId="0" applyFont="1" applyFill="1" applyBorder="1" applyAlignment="1">
      <alignment horizontal="center" vertical="center" wrapText="1"/>
    </xf>
    <xf numFmtId="0" fontId="0" fillId="12" borderId="19" xfId="0" applyFill="1" applyBorder="1" applyAlignment="1">
      <alignment horizontal="center" vertical="center" wrapText="1"/>
    </xf>
    <xf numFmtId="0" fontId="0" fillId="12" borderId="191" xfId="0" applyFill="1" applyBorder="1" applyAlignment="1">
      <alignment horizontal="center" vertical="center" wrapText="1"/>
    </xf>
    <xf numFmtId="0" fontId="9" fillId="12" borderId="0" xfId="0" applyFont="1" applyFill="1" applyAlignment="1">
      <alignment horizontal="center"/>
    </xf>
    <xf numFmtId="0" fontId="9" fillId="12" borderId="0" xfId="0" applyFont="1" applyFill="1" applyBorder="1" applyAlignment="1">
      <alignment horizontal="center"/>
    </xf>
    <xf numFmtId="0" fontId="10" fillId="12" borderId="0" xfId="0" applyFont="1" applyFill="1" applyAlignment="1">
      <alignment horizontal="center"/>
    </xf>
    <xf numFmtId="0" fontId="9" fillId="12" borderId="113" xfId="0" applyFont="1" applyFill="1" applyBorder="1" applyAlignment="1">
      <alignment horizontal="center"/>
    </xf>
    <xf numFmtId="0" fontId="11" fillId="0" borderId="23" xfId="0" applyFont="1" applyBorder="1" applyAlignment="1">
      <alignment horizontal="center" vertical="center" wrapText="1"/>
    </xf>
    <xf numFmtId="0" fontId="0" fillId="0" borderId="72" xfId="0" applyBorder="1" applyAlignment="1">
      <alignment horizontal="center" vertical="center" wrapText="1"/>
    </xf>
    <xf numFmtId="0" fontId="9" fillId="12" borderId="5" xfId="0" applyFont="1" applyFill="1" applyBorder="1" applyAlignment="1">
      <alignment horizontal="center"/>
    </xf>
    <xf numFmtId="0" fontId="10" fillId="0" borderId="30" xfId="0" applyFont="1" applyBorder="1" applyAlignment="1">
      <alignment horizontal="center" vertical="center"/>
    </xf>
    <xf numFmtId="0" fontId="10" fillId="0" borderId="77" xfId="0" applyFont="1" applyBorder="1" applyAlignment="1">
      <alignment horizontal="center"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0" xfId="0" applyFont="1" applyBorder="1" applyAlignment="1">
      <alignment horizontal="center" vertical="center"/>
    </xf>
    <xf numFmtId="0" fontId="10" fillId="0" borderId="75" xfId="0" applyFont="1" applyBorder="1" applyAlignment="1">
      <alignment horizontal="center" vertical="center"/>
    </xf>
    <xf numFmtId="0" fontId="10" fillId="12" borderId="143" xfId="0" applyFont="1" applyFill="1" applyBorder="1" applyAlignment="1">
      <alignment horizontal="center" vertical="center" wrapText="1"/>
    </xf>
    <xf numFmtId="0" fontId="10" fillId="12" borderId="144" xfId="0" applyFont="1" applyFill="1" applyBorder="1" applyAlignment="1">
      <alignment horizontal="center" vertical="center" wrapText="1"/>
    </xf>
    <xf numFmtId="0" fontId="10" fillId="12" borderId="145" xfId="0" applyFont="1" applyFill="1" applyBorder="1" applyAlignment="1">
      <alignment horizontal="center" vertical="center" wrapText="1"/>
    </xf>
    <xf numFmtId="0" fontId="10" fillId="12" borderId="19" xfId="0" applyFont="1" applyFill="1" applyBorder="1" applyAlignment="1">
      <alignment horizontal="center" vertical="center" wrapText="1"/>
    </xf>
    <xf numFmtId="0" fontId="0" fillId="12" borderId="146" xfId="0" applyFill="1" applyBorder="1" applyAlignment="1">
      <alignment vertical="center" wrapText="1"/>
    </xf>
    <xf numFmtId="0" fontId="8" fillId="0" borderId="24" xfId="0" applyFont="1" applyBorder="1" applyAlignment="1">
      <alignment horizontal="center"/>
    </xf>
    <xf numFmtId="0" fontId="0" fillId="0" borderId="19" xfId="0" applyBorder="1" applyAlignment="1">
      <alignment horizontal="center"/>
    </xf>
    <xf numFmtId="0" fontId="91" fillId="17" borderId="0" xfId="0" applyFont="1" applyFill="1" applyAlignment="1">
      <alignment horizontal="center"/>
    </xf>
    <xf numFmtId="0" fontId="92" fillId="17" borderId="0" xfId="0" applyFont="1" applyFill="1" applyAlignment="1">
      <alignment horizontal="center"/>
    </xf>
    <xf numFmtId="0" fontId="93" fillId="17" borderId="0" xfId="0" applyFont="1" applyFill="1" applyAlignment="1">
      <alignment horizontal="center"/>
    </xf>
    <xf numFmtId="0" fontId="93" fillId="17" borderId="194" xfId="0" applyFont="1" applyFill="1" applyBorder="1" applyAlignment="1">
      <alignment horizontal="center" vertical="center" wrapText="1"/>
    </xf>
    <xf numFmtId="0" fontId="93" fillId="17" borderId="0" xfId="0" applyFont="1" applyFill="1" applyBorder="1" applyAlignment="1">
      <alignment horizontal="center" vertical="center" wrapText="1"/>
    </xf>
    <xf numFmtId="0" fontId="93" fillId="17" borderId="194" xfId="0" applyFont="1" applyFill="1" applyBorder="1" applyAlignment="1">
      <alignment horizontal="center" vertical="center"/>
    </xf>
    <xf numFmtId="0" fontId="93" fillId="17" borderId="0" xfId="0" applyFont="1" applyFill="1" applyBorder="1" applyAlignment="1">
      <alignment horizontal="center" vertical="center"/>
    </xf>
    <xf numFmtId="0" fontId="93" fillId="17" borderId="199" xfId="0" applyFont="1" applyFill="1" applyBorder="1" applyAlignment="1">
      <alignment horizontal="center" vertical="center" wrapText="1"/>
    </xf>
    <xf numFmtId="0" fontId="92" fillId="17" borderId="194" xfId="0" applyFont="1" applyFill="1" applyBorder="1" applyAlignment="1">
      <alignment horizontal="center" vertical="center"/>
    </xf>
    <xf numFmtId="0" fontId="92" fillId="17" borderId="0" xfId="0" applyFont="1" applyFill="1" applyBorder="1" applyAlignment="1">
      <alignment horizontal="center" vertical="center"/>
    </xf>
    <xf numFmtId="0" fontId="92" fillId="17" borderId="199" xfId="0" applyFont="1" applyFill="1" applyBorder="1" applyAlignment="1">
      <alignment horizontal="center" vertical="center"/>
    </xf>
    <xf numFmtId="0" fontId="32" fillId="0" borderId="0" xfId="0" applyFont="1" applyAlignment="1">
      <alignment horizontal="center"/>
    </xf>
    <xf numFmtId="0" fontId="10" fillId="0" borderId="0" xfId="0" applyFont="1" applyAlignment="1">
      <alignment horizontal="center"/>
    </xf>
    <xf numFmtId="0" fontId="0" fillId="0" borderId="1" xfId="0" applyBorder="1" applyAlignment="1">
      <alignment horizontal="center" vertical="center" wrapText="1"/>
    </xf>
    <xf numFmtId="0" fontId="0" fillId="0" borderId="25" xfId="0" applyBorder="1" applyAlignment="1">
      <alignment horizontal="center" vertical="center" wrapText="1"/>
    </xf>
    <xf numFmtId="0" fontId="8" fillId="0" borderId="7"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54" fillId="12" borderId="0" xfId="0" applyFont="1" applyFill="1" applyAlignment="1">
      <alignment horizontal="center"/>
    </xf>
    <xf numFmtId="0" fontId="10" fillId="15" borderId="97" xfId="5" applyFont="1" applyFill="1" applyBorder="1" applyAlignment="1">
      <alignment horizontal="center"/>
    </xf>
    <xf numFmtId="0" fontId="10" fillId="15" borderId="31" xfId="5" applyFont="1" applyFill="1" applyBorder="1" applyAlignment="1">
      <alignment horizontal="center"/>
    </xf>
    <xf numFmtId="0" fontId="10" fillId="15" borderId="106" xfId="5" applyFont="1" applyFill="1" applyBorder="1" applyAlignment="1">
      <alignment horizontal="center"/>
    </xf>
    <xf numFmtId="10" fontId="15" fillId="0" borderId="0" xfId="0" applyNumberFormat="1" applyFont="1" applyAlignment="1">
      <alignment horizontal="center" vertical="center" wrapText="1"/>
    </xf>
    <xf numFmtId="0" fontId="15" fillId="0" borderId="0" xfId="0" applyFont="1" applyAlignment="1">
      <alignment horizontal="center" vertical="center" wrapText="1"/>
    </xf>
  </cellXfs>
  <cellStyles count="96">
    <cellStyle name="Euro" xfId="1"/>
    <cellStyle name="Hyperlink" xfId="12"/>
    <cellStyle name="Millares" xfId="2" builtinId="3"/>
    <cellStyle name="Millares 2" xfId="6"/>
    <cellStyle name="Millares 2 2" xfId="20"/>
    <cellStyle name="Millares 2 3" xfId="21"/>
    <cellStyle name="Millares 2 4" xfId="22"/>
    <cellStyle name="Millares 2 5" xfId="23"/>
    <cellStyle name="Millares 2 6" xfId="24"/>
    <cellStyle name="Millares 2 7" xfId="25"/>
    <cellStyle name="Millares 2 8" xfId="26"/>
    <cellStyle name="Millares 2 9" xfId="27"/>
    <cellStyle name="Millares 3" xfId="7"/>
    <cellStyle name="Millares 4" xfId="13"/>
    <cellStyle name="Millares 5" xfId="60"/>
    <cellStyle name="Normal" xfId="0" builtinId="0"/>
    <cellStyle name="Normal 2" xfId="5"/>
    <cellStyle name="Normal 3" xfId="8"/>
    <cellStyle name="Normal 3 10" xfId="28"/>
    <cellStyle name="Normal 3 11" xfId="61"/>
    <cellStyle name="Normal 3 2" xfId="11"/>
    <cellStyle name="Normal 3 2 10" xfId="29"/>
    <cellStyle name="Normal 3 2 11" xfId="62"/>
    <cellStyle name="Normal 3 2 12" xfId="63"/>
    <cellStyle name="Normal 3 2 2" xfId="30"/>
    <cellStyle name="Normal 3 2 2 2" xfId="31"/>
    <cellStyle name="Normal 3 2 2 3" xfId="32"/>
    <cellStyle name="Normal 3 2 2 4" xfId="64"/>
    <cellStyle name="Normal 3 2 2 5" xfId="65"/>
    <cellStyle name="Normal 3 2 3" xfId="33"/>
    <cellStyle name="Normal 3 2 3 2" xfId="66"/>
    <cellStyle name="Normal 3 2 3 3" xfId="67"/>
    <cellStyle name="Normal 3 2 4" xfId="34"/>
    <cellStyle name="Normal 3 2 4 2" xfId="68"/>
    <cellStyle name="Normal 3 2 4 3" xfId="69"/>
    <cellStyle name="Normal 3 2 5" xfId="35"/>
    <cellStyle name="Normal 3 2 5 2" xfId="70"/>
    <cellStyle name="Normal 3 2 5 3" xfId="71"/>
    <cellStyle name="Normal 3 2 6" xfId="36"/>
    <cellStyle name="Normal 3 2 6 2" xfId="72"/>
    <cellStyle name="Normal 3 2 6 3" xfId="73"/>
    <cellStyle name="Normal 3 2 7" xfId="37"/>
    <cellStyle name="Normal 3 2 7 2" xfId="74"/>
    <cellStyle name="Normal 3 2 7 3" xfId="75"/>
    <cellStyle name="Normal 3 2 8" xfId="38"/>
    <cellStyle name="Normal 3 2 8 2" xfId="76"/>
    <cellStyle name="Normal 3 2 8 3" xfId="77"/>
    <cellStyle name="Normal 3 2 9" xfId="39"/>
    <cellStyle name="Normal 3 2 9 2" xfId="78"/>
    <cellStyle name="Normal 3 2 9 3" xfId="79"/>
    <cellStyle name="Normal 3 3" xfId="15"/>
    <cellStyle name="Normal 3 3 2" xfId="40"/>
    <cellStyle name="Normal 3 3 3" xfId="41"/>
    <cellStyle name="Normal 3 3 4" xfId="80"/>
    <cellStyle name="Normal 3 3 5" xfId="81"/>
    <cellStyle name="Normal 3 4" xfId="42"/>
    <cellStyle name="Normal 3 5" xfId="43"/>
    <cellStyle name="Normal 3 6" xfId="44"/>
    <cellStyle name="Normal 3 7" xfId="45"/>
    <cellStyle name="Normal 3 8" xfId="46"/>
    <cellStyle name="Normal 3 9" xfId="47"/>
    <cellStyle name="Normal 4" xfId="10"/>
    <cellStyle name="Normal 4 2" xfId="16"/>
    <cellStyle name="Normal 4 2 2" xfId="48"/>
    <cellStyle name="Normal 4 2 3" xfId="49"/>
    <cellStyle name="Normal 4 2 4" xfId="82"/>
    <cellStyle name="Normal 4 2 5" xfId="83"/>
    <cellStyle name="Normal 4 2 6" xfId="84"/>
    <cellStyle name="Normal 4 3" xfId="17"/>
    <cellStyle name="Normal 4 3 2" xfId="50"/>
    <cellStyle name="Normal 4 3 3" xfId="51"/>
    <cellStyle name="Normal 4 3 4" xfId="85"/>
    <cellStyle name="Normal 4 3 5" xfId="86"/>
    <cellStyle name="Normal 4 3 6" xfId="87"/>
    <cellStyle name="Normal 5" xfId="18"/>
    <cellStyle name="Normal 6" xfId="52"/>
    <cellStyle name="Normal 6 2" xfId="53"/>
    <cellStyle name="Normal 6 3" xfId="54"/>
    <cellStyle name="Normal 6 4" xfId="88"/>
    <cellStyle name="Normal 6 5" xfId="89"/>
    <cellStyle name="Normal 8" xfId="55"/>
    <cellStyle name="Normal 9" xfId="90"/>
    <cellStyle name="Normal_ElektraPorSE2" xfId="19"/>
    <cellStyle name="Porcentual" xfId="3" builtinId="5"/>
    <cellStyle name="Porcentual 2" xfId="9"/>
    <cellStyle name="Porcentual 2 2" xfId="56"/>
    <cellStyle name="Porcentual 2 3" xfId="57"/>
    <cellStyle name="Porcentual 2 4" xfId="91"/>
    <cellStyle name="Porcentual 2 5" xfId="92"/>
    <cellStyle name="Porcentual 2 6" xfId="93"/>
    <cellStyle name="Porcentual 3" xfId="14"/>
    <cellStyle name="Porcentual 3 2" xfId="58"/>
    <cellStyle name="Porcentual 3 3" xfId="59"/>
    <cellStyle name="Porcentual 3 4" xfId="94"/>
    <cellStyle name="Porcentual 3 5" xfId="95"/>
    <cellStyle name="Style 27"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POBLACION</a:t>
            </a:r>
            <a:r>
              <a:rPr lang="es-ES" baseline="0"/>
              <a:t>  </a:t>
            </a:r>
            <a:r>
              <a:rPr lang="es-ES" sz="1400" baseline="0"/>
              <a:t>(MILLONES )</a:t>
            </a:r>
            <a:endParaRPr lang="es-ES" sz="1400"/>
          </a:p>
        </c:rich>
      </c:tx>
      <c:layout>
        <c:manualLayout>
          <c:xMode val="edge"/>
          <c:yMode val="edge"/>
          <c:x val="0.24208877223680372"/>
          <c:y val="9.2592592592593462E-2"/>
        </c:manualLayout>
      </c:layout>
      <c:overlay val="1"/>
    </c:title>
    <c:plotArea>
      <c:layout>
        <c:manualLayout>
          <c:layoutTarget val="inner"/>
          <c:xMode val="edge"/>
          <c:yMode val="edge"/>
          <c:x val="0.1127433070866147"/>
          <c:y val="0.19993256051326921"/>
          <c:w val="0.82010078740157755"/>
          <c:h val="0.6395993729950451"/>
        </c:manualLayout>
      </c:layout>
      <c:lineChart>
        <c:grouping val="standard"/>
        <c:ser>
          <c:idx val="0"/>
          <c:order val="0"/>
          <c:tx>
            <c:strRef>
              <c:f>'1-Proyec Pob Tot. 2010'!$C$6:$D$6</c:f>
              <c:strCache>
                <c:ptCount val="1"/>
                <c:pt idx="0">
                  <c:v>HISTORICO</c:v>
                </c:pt>
              </c:strCache>
            </c:strRef>
          </c:tx>
          <c:spPr>
            <a:ln w="15875">
              <a:solidFill>
                <a:srgbClr val="FFFF00"/>
              </a:solidFill>
            </a:ln>
          </c:spPr>
          <c:marker>
            <c:symbol val="none"/>
          </c:marker>
          <c:cat>
            <c:numRef>
              <c:f>'1-Proyec Pob Tot. 2010'!$B$9:$B$69</c:f>
              <c:numCache>
                <c:formatCode>General</c:formatCode>
                <c:ptCount val="6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pt idx="54">
                  <c:v>2024</c:v>
                </c:pt>
                <c:pt idx="55">
                  <c:v>2025</c:v>
                </c:pt>
                <c:pt idx="56">
                  <c:v>2026</c:v>
                </c:pt>
                <c:pt idx="57">
                  <c:v>2027</c:v>
                </c:pt>
                <c:pt idx="58">
                  <c:v>2028</c:v>
                </c:pt>
                <c:pt idx="59">
                  <c:v>2029</c:v>
                </c:pt>
                <c:pt idx="60">
                  <c:v>2030</c:v>
                </c:pt>
              </c:numCache>
            </c:numRef>
          </c:cat>
          <c:val>
            <c:numRef>
              <c:f>'1-Proyec Pob Tot. 2010'!$C$9:$C$49</c:f>
              <c:numCache>
                <c:formatCode>#,##0.0</c:formatCode>
                <c:ptCount val="41"/>
                <c:pt idx="0">
                  <c:v>1506.307</c:v>
                </c:pt>
                <c:pt idx="1">
                  <c:v>1547.32</c:v>
                </c:pt>
                <c:pt idx="2">
                  <c:v>1589.481</c:v>
                </c:pt>
                <c:pt idx="3">
                  <c:v>1632.82</c:v>
                </c:pt>
                <c:pt idx="4">
                  <c:v>1677.373</c:v>
                </c:pt>
                <c:pt idx="5">
                  <c:v>1723.174</c:v>
                </c:pt>
                <c:pt idx="6">
                  <c:v>1766.1999999999998</c:v>
                </c:pt>
                <c:pt idx="7">
                  <c:v>1810.3340000000001</c:v>
                </c:pt>
                <c:pt idx="8">
                  <c:v>1855.604</c:v>
                </c:pt>
                <c:pt idx="9">
                  <c:v>1902.0419999999999</c:v>
                </c:pt>
                <c:pt idx="10">
                  <c:v>1949.6769999999999</c:v>
                </c:pt>
                <c:pt idx="11">
                  <c:v>1991.1399999999999</c:v>
                </c:pt>
                <c:pt idx="12">
                  <c:v>2033.6149999999998</c:v>
                </c:pt>
                <c:pt idx="13">
                  <c:v>2077.1299999999997</c:v>
                </c:pt>
                <c:pt idx="14">
                  <c:v>2121.7110000000002</c:v>
                </c:pt>
                <c:pt idx="15">
                  <c:v>2167.3880000000004</c:v>
                </c:pt>
                <c:pt idx="16">
                  <c:v>2211.2909999999997</c:v>
                </c:pt>
                <c:pt idx="17">
                  <c:v>2256.2290000000003</c:v>
                </c:pt>
                <c:pt idx="18">
                  <c:v>2302.23</c:v>
                </c:pt>
                <c:pt idx="19">
                  <c:v>2349.3209999999999</c:v>
                </c:pt>
                <c:pt idx="20">
                  <c:v>2397.5349999999999</c:v>
                </c:pt>
                <c:pt idx="21">
                  <c:v>2442.2069999999999</c:v>
                </c:pt>
                <c:pt idx="22">
                  <c:v>2487.8670000000002</c:v>
                </c:pt>
                <c:pt idx="23">
                  <c:v>2534.538</c:v>
                </c:pt>
                <c:pt idx="24">
                  <c:v>2582.2460000000001</c:v>
                </c:pt>
                <c:pt idx="25">
                  <c:v>2631.0129999999999</c:v>
                </c:pt>
                <c:pt idx="26">
                  <c:v>2687.7550000000001</c:v>
                </c:pt>
                <c:pt idx="27">
                  <c:v>2747.6819999999998</c:v>
                </c:pt>
                <c:pt idx="28">
                  <c:v>2810.9359999999997</c:v>
                </c:pt>
                <c:pt idx="29">
                  <c:v>2877.6660000000002</c:v>
                </c:pt>
                <c:pt idx="30">
                  <c:v>2948.0230000000001</c:v>
                </c:pt>
                <c:pt idx="31">
                  <c:v>3003.9539999999997</c:v>
                </c:pt>
                <c:pt idx="32">
                  <c:v>3060.09</c:v>
                </c:pt>
                <c:pt idx="33">
                  <c:v>3116.277</c:v>
                </c:pt>
                <c:pt idx="34">
                  <c:v>3172.3603999999996</c:v>
                </c:pt>
                <c:pt idx="35">
                  <c:v>3228.1860000000001</c:v>
                </c:pt>
                <c:pt idx="36">
                  <c:v>3283.9590000000003</c:v>
                </c:pt>
                <c:pt idx="37">
                  <c:v>3339.7809999999999</c:v>
                </c:pt>
                <c:pt idx="38">
                  <c:v>3395.346</c:v>
                </c:pt>
                <c:pt idx="39">
                  <c:v>3450.3490000000002</c:v>
                </c:pt>
                <c:pt idx="40">
                  <c:v>3504.4639999999999</c:v>
                </c:pt>
              </c:numCache>
            </c:numRef>
          </c:val>
        </c:ser>
        <c:ser>
          <c:idx val="2"/>
          <c:order val="1"/>
          <c:tx>
            <c:strRef>
              <c:f>'1-Proyec Pob Tot. 2010'!$E$6:$H$6</c:f>
              <c:strCache>
                <c:ptCount val="1"/>
                <c:pt idx="0">
                  <c:v>Censo 2000 </c:v>
                </c:pt>
              </c:strCache>
            </c:strRef>
          </c:tx>
          <c:spPr>
            <a:ln w="12700">
              <a:solidFill>
                <a:schemeClr val="tx1"/>
              </a:solidFill>
              <a:prstDash val="dash"/>
            </a:ln>
          </c:spPr>
          <c:marker>
            <c:symbol val="none"/>
          </c:marker>
          <c:cat>
            <c:numRef>
              <c:f>'1-Proyec Pob Tot. 2010'!$B$9:$B$69</c:f>
              <c:numCache>
                <c:formatCode>General</c:formatCode>
                <c:ptCount val="6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pt idx="54">
                  <c:v>2024</c:v>
                </c:pt>
                <c:pt idx="55">
                  <c:v>2025</c:v>
                </c:pt>
                <c:pt idx="56">
                  <c:v>2026</c:v>
                </c:pt>
                <c:pt idx="57">
                  <c:v>2027</c:v>
                </c:pt>
                <c:pt idx="58">
                  <c:v>2028</c:v>
                </c:pt>
                <c:pt idx="59">
                  <c:v>2029</c:v>
                </c:pt>
                <c:pt idx="60">
                  <c:v>2030</c:v>
                </c:pt>
              </c:numCache>
            </c:numRef>
          </c:cat>
          <c:val>
            <c:numRef>
              <c:f>'1-Proyec Pob Tot. 2010'!$F$9:$F$69</c:f>
              <c:numCache>
                <c:formatCode>#,##0.0</c:formatCode>
                <c:ptCount val="61"/>
                <c:pt idx="41">
                  <c:v>3557.6869999999999</c:v>
                </c:pt>
                <c:pt idx="42">
                  <c:v>3610.165</c:v>
                </c:pt>
                <c:pt idx="43">
                  <c:v>3662.009</c:v>
                </c:pt>
                <c:pt idx="44">
                  <c:v>3713.3119999999999</c:v>
                </c:pt>
                <c:pt idx="45">
                  <c:v>3764.1660000000002</c:v>
                </c:pt>
                <c:pt idx="46">
                  <c:v>3814.672</c:v>
                </c:pt>
                <c:pt idx="47">
                  <c:v>3864.7689999999998</c:v>
                </c:pt>
                <c:pt idx="48">
                  <c:v>3914.3040000000001</c:v>
                </c:pt>
                <c:pt idx="49">
                  <c:v>3963.127</c:v>
                </c:pt>
                <c:pt idx="50">
                  <c:v>4011.0839999999998</c:v>
                </c:pt>
                <c:pt idx="51">
                  <c:v>4058.181</c:v>
                </c:pt>
                <c:pt idx="52">
                  <c:v>4104.5190000000002</c:v>
                </c:pt>
                <c:pt idx="53">
                  <c:v>4150.0910000000003</c:v>
                </c:pt>
                <c:pt idx="54">
                  <c:v>4194.8890000000001</c:v>
                </c:pt>
                <c:pt idx="55">
                  <c:v>4282.2240000000002</c:v>
                </c:pt>
                <c:pt idx="56">
                  <c:v>4324.8459999999995</c:v>
                </c:pt>
                <c:pt idx="57">
                  <c:v>4366.652</c:v>
                </c:pt>
                <c:pt idx="58">
                  <c:v>4407.5219999999999</c:v>
                </c:pt>
                <c:pt idx="59">
                  <c:v>4447.3370000000004</c:v>
                </c:pt>
                <c:pt idx="60">
                  <c:v>4486.1850000000004</c:v>
                </c:pt>
              </c:numCache>
            </c:numRef>
          </c:val>
        </c:ser>
        <c:ser>
          <c:idx val="3"/>
          <c:order val="2"/>
          <c:tx>
            <c:strRef>
              <c:f>'1-Proyec Pob Tot. 2010'!$I$6:$L$6</c:f>
              <c:strCache>
                <c:ptCount val="1"/>
                <c:pt idx="0">
                  <c:v>Censo 2010 </c:v>
                </c:pt>
              </c:strCache>
            </c:strRef>
          </c:tx>
          <c:spPr>
            <a:ln w="15875">
              <a:solidFill>
                <a:srgbClr val="FF0000"/>
              </a:solidFill>
              <a:prstDash val="sysDash"/>
            </a:ln>
          </c:spPr>
          <c:marker>
            <c:symbol val="none"/>
          </c:marker>
          <c:val>
            <c:numRef>
              <c:f>'1-Proyec Pob Tot. 2010'!$J$9:$J$69</c:f>
              <c:numCache>
                <c:formatCode>#,##0.0</c:formatCode>
                <c:ptCount val="61"/>
                <c:pt idx="41">
                  <c:v>3642.7060000000001</c:v>
                </c:pt>
                <c:pt idx="42">
                  <c:v>3700.6039999999998</c:v>
                </c:pt>
                <c:pt idx="43">
                  <c:v>3757.797</c:v>
                </c:pt>
                <c:pt idx="44">
                  <c:v>3814.21</c:v>
                </c:pt>
                <c:pt idx="45">
                  <c:v>3869.982</c:v>
                </c:pt>
                <c:pt idx="46">
                  <c:v>3925.027</c:v>
                </c:pt>
                <c:pt idx="47">
                  <c:v>3979.3739999999998</c:v>
                </c:pt>
                <c:pt idx="48">
                  <c:v>4033.1030000000001</c:v>
                </c:pt>
                <c:pt idx="49">
                  <c:v>4086.0419999999999</c:v>
                </c:pt>
                <c:pt idx="50">
                  <c:v>4138.4660000000003</c:v>
                </c:pt>
                <c:pt idx="51">
                  <c:v>4190.1080000000002</c:v>
                </c:pt>
                <c:pt idx="52">
                  <c:v>4241.1620000000003</c:v>
                </c:pt>
                <c:pt idx="53">
                  <c:v>4291.4549999999999</c:v>
                </c:pt>
                <c:pt idx="54">
                  <c:v>4340.97</c:v>
                </c:pt>
                <c:pt idx="55">
                  <c:v>4389.7380000000003</c:v>
                </c:pt>
                <c:pt idx="56">
                  <c:v>4437.8220000000001</c:v>
                </c:pt>
                <c:pt idx="57">
                  <c:v>4484.9949999999999</c:v>
                </c:pt>
                <c:pt idx="58">
                  <c:v>4531.5010000000002</c:v>
                </c:pt>
                <c:pt idx="59">
                  <c:v>4577.1909999999998</c:v>
                </c:pt>
                <c:pt idx="60">
                  <c:v>4621.92</c:v>
                </c:pt>
              </c:numCache>
            </c:numRef>
          </c:val>
        </c:ser>
        <c:marker val="1"/>
        <c:axId val="124804480"/>
        <c:axId val="124843136"/>
      </c:lineChart>
      <c:catAx>
        <c:axId val="124804480"/>
        <c:scaling>
          <c:orientation val="minMax"/>
        </c:scaling>
        <c:axPos val="b"/>
        <c:numFmt formatCode="General" sourceLinked="1"/>
        <c:tickLblPos val="nextTo"/>
        <c:txPr>
          <a:bodyPr rot="-2400000"/>
          <a:lstStyle/>
          <a:p>
            <a:pPr>
              <a:defRPr sz="800" baseline="0"/>
            </a:pPr>
            <a:endParaRPr lang="es-ES"/>
          </a:p>
        </c:txPr>
        <c:crossAx val="124843136"/>
        <c:crosses val="autoZero"/>
        <c:auto val="1"/>
        <c:lblAlgn val="ctr"/>
        <c:lblOffset val="100"/>
        <c:tickLblSkip val="5"/>
      </c:catAx>
      <c:valAx>
        <c:axId val="124843136"/>
        <c:scaling>
          <c:orientation val="minMax"/>
          <c:max val="5000"/>
          <c:min val="1400"/>
        </c:scaling>
        <c:axPos val="l"/>
        <c:majorGridlines/>
        <c:numFmt formatCode="#,##0" sourceLinked="0"/>
        <c:tickLblPos val="nextTo"/>
        <c:crossAx val="124804480"/>
        <c:crosses val="autoZero"/>
        <c:crossBetween val="between"/>
      </c:valA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lotArea>
    <c:legend>
      <c:legendPos val="b"/>
      <c:layout>
        <c:manualLayout>
          <c:xMode val="edge"/>
          <c:yMode val="edge"/>
          <c:x val="0.28323826188393131"/>
          <c:y val="0.67554206765821245"/>
          <c:w val="0.68833805774278212"/>
          <c:h val="0.18093941382327347"/>
        </c:manualLayout>
      </c:layout>
    </c:legend>
    <c:plotVisOnly val="1"/>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printSettings>
    <c:headerFooter/>
    <c:pageMargins b="0.75000000000000377" l="0.70000000000000062" r="0.70000000000000062" t="0.750000000000003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0.12765969503643224"/>
          <c:y val="0.25615763546798026"/>
          <c:w val="0.86267006039771565"/>
          <c:h val="0.48768472906404808"/>
        </c:manualLayout>
      </c:layout>
      <c:lineChart>
        <c:grouping val="standard"/>
        <c:ser>
          <c:idx val="0"/>
          <c:order val="0"/>
          <c:tx>
            <c:strRef>
              <c:f>'12-PIB-Optimista Base-1982'!$B$6</c:f>
              <c:strCache>
                <c:ptCount val="1"/>
                <c:pt idx="0">
                  <c:v>PIB REAL</c:v>
                </c:pt>
              </c:strCache>
            </c:strRef>
          </c:tx>
          <c:spPr>
            <a:ln w="38100">
              <a:solidFill>
                <a:schemeClr val="tx2"/>
              </a:solidFill>
              <a:prstDash val="solid"/>
            </a:ln>
          </c:spPr>
          <c:marker>
            <c:symbol val="none"/>
          </c:marker>
          <c:trendline>
            <c:spPr>
              <a:ln w="12700">
                <a:solidFill>
                  <a:srgbClr val="FF0000"/>
                </a:solidFill>
                <a:prstDash val="solid"/>
              </a:ln>
            </c:spPr>
            <c:trendlineType val="linear"/>
            <c:dispRSqr val="1"/>
            <c:dispEq val="1"/>
            <c:trendlineLbl>
              <c:layout>
                <c:manualLayout>
                  <c:x val="1.7289385547634522E-2"/>
                  <c:y val="-0.27225604177245094"/>
                </c:manualLayout>
              </c:layout>
              <c:tx>
                <c:rich>
                  <a:bodyPr/>
                  <a:lstStyle/>
                  <a:p>
                    <a:pPr>
                      <a:defRPr sz="1200" b="0" i="0" u="none" strike="noStrike" baseline="0">
                        <a:solidFill>
                          <a:srgbClr val="000000"/>
                        </a:solidFill>
                        <a:latin typeface="Arial"/>
                        <a:ea typeface="Arial"/>
                        <a:cs typeface="Arial"/>
                      </a:defRPr>
                    </a:pPr>
                    <a:r>
                      <a:rPr lang="es-ES" sz="1200" b="0" i="0" strike="noStrike">
                        <a:solidFill>
                          <a:srgbClr val="000000"/>
                        </a:solidFill>
                        <a:latin typeface="Arial"/>
                        <a:cs typeface="Arial"/>
                      </a:rPr>
                      <a:t>R</a:t>
                    </a:r>
                    <a:r>
                      <a:rPr lang="es-ES" sz="1200" b="0" i="0" strike="noStrike" baseline="30000">
                        <a:solidFill>
                          <a:srgbClr val="000000"/>
                        </a:solidFill>
                        <a:latin typeface="Arial"/>
                        <a:cs typeface="Arial"/>
                      </a:rPr>
                      <a:t>2</a:t>
                    </a:r>
                    <a:r>
                      <a:rPr lang="es-ES" sz="1200" b="0" i="0" strike="noStrike">
                        <a:solidFill>
                          <a:srgbClr val="000000"/>
                        </a:solidFill>
                        <a:latin typeface="Arial"/>
                        <a:cs typeface="Arial"/>
                      </a:rPr>
                      <a:t> = 0.9943</a:t>
                    </a:r>
                  </a:p>
                </c:rich>
              </c:tx>
              <c:numFmt formatCode="General" sourceLinked="0"/>
              <c:spPr>
                <a:noFill/>
                <a:ln w="25400">
                  <a:noFill/>
                </a:ln>
              </c:spPr>
            </c:trendlineLbl>
          </c:trendline>
          <c:cat>
            <c:numRef>
              <c:f>'12-PIB-Optimista Base-1982'!$A$40:$A$64</c:f>
              <c:numCache>
                <c:formatCode>General</c:formatCode>
                <c:ptCount val="2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numCache>
            </c:numRef>
          </c:cat>
          <c:val>
            <c:numRef>
              <c:f>'12-PIB-Optimista Base-1982'!$B$40:$B$64</c:f>
              <c:numCache>
                <c:formatCode>_-* #,##0_-;\-* #,##0_-;_-* "-"??_-;_-@_-</c:formatCode>
                <c:ptCount val="25"/>
                <c:pt idx="0">
                  <c:v>7881.9392110616636</c:v>
                </c:pt>
                <c:pt idx="1">
                  <c:v>8373.9903204816346</c:v>
                </c:pt>
                <c:pt idx="2">
                  <c:v>9081.422412048847</c:v>
                </c:pt>
                <c:pt idx="3">
                  <c:v>9788.3682028639505</c:v>
                </c:pt>
                <c:pt idx="4">
                  <c:v>11002.804099426618</c:v>
                </c:pt>
                <c:pt idx="5">
                  <c:v>12132.014935933918</c:v>
                </c:pt>
                <c:pt idx="6">
                  <c:v>12529.358670555303</c:v>
                </c:pt>
                <c:pt idx="7">
                  <c:v>13523.004739279306</c:v>
                </c:pt>
                <c:pt idx="8">
                  <c:v>15092.879271304215</c:v>
                </c:pt>
                <c:pt idx="9">
                  <c:v>16502.240181051773</c:v>
                </c:pt>
                <c:pt idx="10">
                  <c:v>18276.926852797267</c:v>
                </c:pt>
                <c:pt idx="11">
                  <c:v>19647.69636675706</c:v>
                </c:pt>
                <c:pt idx="12">
                  <c:v>21121.273594263839</c:v>
                </c:pt>
                <c:pt idx="13">
                  <c:v>22705.369113833625</c:v>
                </c:pt>
                <c:pt idx="14">
                  <c:v>24181.218106232809</c:v>
                </c:pt>
                <c:pt idx="15">
                  <c:v>25752.997283137942</c:v>
                </c:pt>
                <c:pt idx="16">
                  <c:v>27426.942106541908</c:v>
                </c:pt>
                <c:pt idx="17">
                  <c:v>29209.69334346713</c:v>
                </c:pt>
                <c:pt idx="18">
                  <c:v>31108.323410792491</c:v>
                </c:pt>
                <c:pt idx="19">
                  <c:v>32974.822815440042</c:v>
                </c:pt>
                <c:pt idx="20">
                  <c:v>34953.312184366448</c:v>
                </c:pt>
                <c:pt idx="21">
                  <c:v>37050.510915428436</c:v>
                </c:pt>
                <c:pt idx="22">
                  <c:v>39273.541570354144</c:v>
                </c:pt>
                <c:pt idx="23">
                  <c:v>41629.954064575395</c:v>
                </c:pt>
                <c:pt idx="24">
                  <c:v>44127.751308449922</c:v>
                </c:pt>
              </c:numCache>
            </c:numRef>
          </c:val>
        </c:ser>
        <c:marker val="1"/>
        <c:axId val="131361408"/>
        <c:axId val="131363200"/>
      </c:lineChart>
      <c:catAx>
        <c:axId val="131361408"/>
        <c:scaling>
          <c:orientation val="minMax"/>
        </c:scaling>
        <c:axPos val="b"/>
        <c:numFmt formatCode="General" sourceLinked="1"/>
        <c:tickLblPos val="nextTo"/>
        <c:spPr>
          <a:ln w="3175">
            <a:solidFill>
              <a:srgbClr val="000000"/>
            </a:solidFill>
            <a:prstDash val="solid"/>
          </a:ln>
        </c:spPr>
        <c:txPr>
          <a:bodyPr rot="-2700000" vert="horz"/>
          <a:lstStyle/>
          <a:p>
            <a:pPr>
              <a:defRPr sz="800" b="0" i="1" u="none" strike="noStrike" baseline="0">
                <a:solidFill>
                  <a:srgbClr val="0000FF"/>
                </a:solidFill>
                <a:latin typeface="Arial"/>
                <a:ea typeface="Arial"/>
                <a:cs typeface="Arial"/>
              </a:defRPr>
            </a:pPr>
            <a:endParaRPr lang="es-ES"/>
          </a:p>
        </c:txPr>
        <c:crossAx val="131363200"/>
        <c:crosses val="autoZero"/>
        <c:auto val="1"/>
        <c:lblAlgn val="ctr"/>
        <c:lblOffset val="100"/>
        <c:tickLblSkip val="2"/>
        <c:tickMarkSkip val="1"/>
      </c:catAx>
      <c:valAx>
        <c:axId val="131363200"/>
        <c:scaling>
          <c:orientation val="minMax"/>
          <c:min val="5000"/>
        </c:scaling>
        <c:axPos val="l"/>
        <c:majorGridlines>
          <c:spPr>
            <a:ln w="12700">
              <a:solidFill>
                <a:srgbClr val="FF0000"/>
              </a:solidFill>
              <a:prstDash val="solid"/>
            </a:ln>
          </c:spPr>
        </c:majorGridlines>
        <c:numFmt formatCode="_-* #,##0_-;\-* #,##0_-;_-* &quot;-&quot;??_-;_-@_-" sourceLinked="1"/>
        <c:tickLblPos val="nextTo"/>
        <c:spPr>
          <a:ln w="9525">
            <a:noFill/>
          </a:ln>
        </c:spPr>
        <c:txPr>
          <a:bodyPr rot="0" vert="horz"/>
          <a:lstStyle/>
          <a:p>
            <a:pPr>
              <a:defRPr sz="975" b="0" i="1" u="none" strike="noStrike" baseline="0">
                <a:solidFill>
                  <a:srgbClr val="0000FF"/>
                </a:solidFill>
                <a:latin typeface="Arial"/>
                <a:ea typeface="Arial"/>
                <a:cs typeface="Arial"/>
              </a:defRPr>
            </a:pPr>
            <a:endParaRPr lang="es-ES"/>
          </a:p>
        </c:txPr>
        <c:crossAx val="131361408"/>
        <c:crosses val="autoZero"/>
        <c:crossBetween val="between"/>
        <c:majorUnit val="10000"/>
      </c:valAx>
      <c:spPr>
        <a:gradFill>
          <a:gsLst>
            <a:gs pos="0">
              <a:srgbClr val="5E9EFF"/>
            </a:gs>
            <a:gs pos="39999">
              <a:srgbClr val="85C2FF"/>
            </a:gs>
            <a:gs pos="70000">
              <a:srgbClr val="C4D6EB"/>
            </a:gs>
            <a:gs pos="100000">
              <a:srgbClr val="FFEBFA"/>
            </a:gs>
          </a:gsLst>
          <a:lin ang="5400000" scaled="0"/>
        </a:gradFill>
        <a:ln w="25400">
          <a:noFill/>
        </a:ln>
      </c:spPr>
    </c:plotArea>
    <c:legend>
      <c:legendPos val="r"/>
      <c:layout>
        <c:manualLayout>
          <c:xMode val="edge"/>
          <c:yMode val="edge"/>
          <c:x val="0.59832386522284031"/>
          <c:y val="0.6091954022988566"/>
          <c:w val="0.38104484730571991"/>
          <c:h val="0.1182266009852244"/>
        </c:manualLayout>
      </c:layout>
      <c:spPr>
        <a:noFill/>
        <a:ln w="3175">
          <a:solidFill>
            <a:srgbClr val="000000"/>
          </a:solidFill>
          <a:prstDash val="solid"/>
        </a:ln>
      </c:spPr>
      <c:txPr>
        <a:bodyPr/>
        <a:lstStyle/>
        <a:p>
          <a:pPr>
            <a:defRPr sz="895" b="0" i="0" u="none" strike="noStrike" baseline="0">
              <a:solidFill>
                <a:srgbClr val="000000"/>
              </a:solidFill>
              <a:latin typeface="Arial"/>
              <a:ea typeface="Arial"/>
              <a:cs typeface="Arial"/>
            </a:defRPr>
          </a:pPr>
          <a:endParaRPr lang="es-ES"/>
        </a:p>
      </c:txPr>
    </c:legend>
    <c:plotVisOnly val="1"/>
    <c:dispBlanksAs val="gap"/>
  </c:chart>
  <c:spPr>
    <a:solidFill>
      <a:srgbClr val="CCFFCC"/>
    </a:solidFill>
    <a:ln w="9525">
      <a:noFill/>
    </a:ln>
  </c:spPr>
  <c:txPr>
    <a:bodyPr/>
    <a:lstStyle/>
    <a:p>
      <a:pPr>
        <a:defRPr sz="975" b="0" i="0" u="none" strike="noStrike" baseline="0">
          <a:solidFill>
            <a:srgbClr val="000000"/>
          </a:solidFill>
          <a:latin typeface="Arial"/>
          <a:ea typeface="Arial"/>
          <a:cs typeface="Arial"/>
        </a:defRPr>
      </a:pPr>
      <a:endParaRPr lang="es-ES"/>
    </a:p>
  </c:txPr>
  <c:printSettings>
    <c:headerFooter alignWithMargins="0"/>
    <c:pageMargins b="1" l="0.75000000000000744" r="0.750000000000007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125" b="1" i="0" u="none" strike="noStrike" baseline="0">
                <a:solidFill>
                  <a:srgbClr val="000000"/>
                </a:solidFill>
                <a:latin typeface="Arial"/>
                <a:ea typeface="Arial"/>
                <a:cs typeface="Arial"/>
              </a:defRPr>
            </a:pPr>
            <a:r>
              <a:rPr lang="es-ES" sz="1125" b="1" i="0" strike="noStrike">
                <a:solidFill>
                  <a:srgbClr val="000000"/>
                </a:solidFill>
                <a:latin typeface="Arial"/>
                <a:cs typeface="Arial"/>
              </a:rPr>
              <a:t>PIB (Millones de Balboas a precios de 1982)</a:t>
            </a:r>
          </a:p>
          <a:p>
            <a:pPr>
              <a:defRPr sz="1125" b="1" i="0" u="none" strike="noStrike" baseline="0">
                <a:solidFill>
                  <a:srgbClr val="000000"/>
                </a:solidFill>
                <a:latin typeface="Arial"/>
                <a:ea typeface="Arial"/>
                <a:cs typeface="Arial"/>
              </a:defRPr>
            </a:pPr>
            <a:r>
              <a:rPr lang="es-ES" sz="925" b="1" i="0" strike="noStrike">
                <a:solidFill>
                  <a:srgbClr val="000000"/>
                </a:solidFill>
                <a:latin typeface="Arial"/>
                <a:cs typeface="Arial"/>
              </a:rPr>
              <a:t>DATOS HISTÓRICOS</a:t>
            </a:r>
          </a:p>
        </c:rich>
      </c:tx>
      <c:layout>
        <c:manualLayout>
          <c:xMode val="edge"/>
          <c:yMode val="edge"/>
          <c:x val="4.3052878712159355E-2"/>
          <c:y val="4.1096073666139002E-2"/>
        </c:manualLayout>
      </c:layout>
      <c:spPr>
        <a:noFill/>
        <a:ln w="25400">
          <a:noFill/>
        </a:ln>
      </c:spPr>
    </c:title>
    <c:plotArea>
      <c:layout>
        <c:manualLayout>
          <c:layoutTarget val="inner"/>
          <c:xMode val="edge"/>
          <c:yMode val="edge"/>
          <c:x val="0.13502948323359074"/>
          <c:y val="0.27854005484827526"/>
          <c:w val="0.83953113488710751"/>
          <c:h val="0.51598403603041265"/>
        </c:manualLayout>
      </c:layout>
      <c:lineChart>
        <c:grouping val="standard"/>
        <c:ser>
          <c:idx val="1"/>
          <c:order val="0"/>
          <c:tx>
            <c:strRef>
              <c:f>'12-PIB-Optimista Base-1982'!$B$6</c:f>
              <c:strCache>
                <c:ptCount val="1"/>
                <c:pt idx="0">
                  <c:v>PIB REAL</c:v>
                </c:pt>
              </c:strCache>
            </c:strRef>
          </c:tx>
          <c:spPr>
            <a:ln w="38100">
              <a:solidFill>
                <a:srgbClr val="0000FF"/>
              </a:solidFill>
              <a:prstDash val="solid"/>
            </a:ln>
          </c:spPr>
          <c:marker>
            <c:symbol val="none"/>
          </c:marker>
          <c:trendline>
            <c:spPr>
              <a:ln w="25400">
                <a:solidFill>
                  <a:srgbClr val="FF0000"/>
                </a:solidFill>
                <a:prstDash val="solid"/>
              </a:ln>
            </c:spPr>
            <c:trendlineType val="poly"/>
            <c:order val="2"/>
            <c:dispRSqr val="1"/>
            <c:trendlineLbl>
              <c:layout>
                <c:manualLayout>
                  <c:x val="-3.5543241563896801E-3"/>
                  <c:y val="-0.29341797699347744"/>
                </c:manualLayout>
              </c:layout>
              <c:numFmt formatCode="General" sourceLinked="0"/>
              <c:spPr>
                <a:noFill/>
                <a:ln w="25400">
                  <a:noFill/>
                </a:ln>
              </c:spPr>
              <c:txPr>
                <a:bodyPr/>
                <a:lstStyle/>
                <a:p>
                  <a:pPr>
                    <a:defRPr sz="1200" b="0" i="0" u="none" strike="noStrike" baseline="0">
                      <a:solidFill>
                        <a:srgbClr val="000000"/>
                      </a:solidFill>
                      <a:latin typeface="Arial"/>
                      <a:ea typeface="Arial"/>
                      <a:cs typeface="Arial"/>
                    </a:defRPr>
                  </a:pPr>
                  <a:endParaRPr lang="es-ES"/>
                </a:p>
              </c:txPr>
            </c:trendlineLbl>
          </c:trendline>
          <c:cat>
            <c:numRef>
              <c:f>'12-PIB-Optimista Base-1982'!$A$7:$A$49</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'12-PIB-Optimista Base-1982'!$B$7:$B$49</c:f>
              <c:numCache>
                <c:formatCode>_-* #,##0_-;\-* #,##0_-;_-* "-"??_-;_-@_-</c:formatCode>
                <c:ptCount val="43"/>
                <c:pt idx="0">
                  <c:v>2351.4156921131657</c:v>
                </c:pt>
                <c:pt idx="1">
                  <c:v>2577.6500691901069</c:v>
                </c:pt>
                <c:pt idx="2">
                  <c:v>2689.0848543566476</c:v>
                </c:pt>
                <c:pt idx="3">
                  <c:v>2823.437834166356</c:v>
                </c:pt>
                <c:pt idx="4">
                  <c:v>2903.6383679935257</c:v>
                </c:pt>
                <c:pt idx="5">
                  <c:v>2910.1245026717997</c:v>
                </c:pt>
                <c:pt idx="6">
                  <c:v>2949.1723957981726</c:v>
                </c:pt>
                <c:pt idx="7">
                  <c:v>2985.6550172110965</c:v>
                </c:pt>
                <c:pt idx="8">
                  <c:v>3300.2084216849612</c:v>
                </c:pt>
                <c:pt idx="9">
                  <c:v>3453.0450719817218</c:v>
                </c:pt>
                <c:pt idx="10">
                  <c:v>4141.5</c:v>
                </c:pt>
                <c:pt idx="11">
                  <c:v>4522.8</c:v>
                </c:pt>
                <c:pt idx="12">
                  <c:v>4764.7</c:v>
                </c:pt>
                <c:pt idx="13">
                  <c:v>4550.7000000000007</c:v>
                </c:pt>
                <c:pt idx="14">
                  <c:v>4674.0000000000009</c:v>
                </c:pt>
                <c:pt idx="15">
                  <c:v>4905.0000000000009</c:v>
                </c:pt>
                <c:pt idx="16">
                  <c:v>5080.0000000000009</c:v>
                </c:pt>
                <c:pt idx="17">
                  <c:v>4988.1000000000004</c:v>
                </c:pt>
                <c:pt idx="18">
                  <c:v>4320.7</c:v>
                </c:pt>
                <c:pt idx="19">
                  <c:v>4388.2000000000007</c:v>
                </c:pt>
                <c:pt idx="20">
                  <c:v>4743.6000000000013</c:v>
                </c:pt>
                <c:pt idx="21">
                  <c:v>5190.4000000000005</c:v>
                </c:pt>
                <c:pt idx="22">
                  <c:v>5616.1</c:v>
                </c:pt>
                <c:pt idx="23">
                  <c:v>5922.5</c:v>
                </c:pt>
                <c:pt idx="24">
                  <c:v>6091.3</c:v>
                </c:pt>
                <c:pt idx="25">
                  <c:v>6198</c:v>
                </c:pt>
                <c:pt idx="26">
                  <c:v>6372.2000000000007</c:v>
                </c:pt>
                <c:pt idx="27">
                  <c:v>6807.2766047027162</c:v>
                </c:pt>
                <c:pt idx="28">
                  <c:v>6947.1999999999989</c:v>
                </c:pt>
                <c:pt idx="29">
                  <c:v>7169.9000000000005</c:v>
                </c:pt>
                <c:pt idx="30">
                  <c:v>7345.6999999999989</c:v>
                </c:pt>
                <c:pt idx="31">
                  <c:v>7372.61010719755</c:v>
                </c:pt>
                <c:pt idx="32">
                  <c:v>7682.2686741081388</c:v>
                </c:pt>
                <c:pt idx="33">
                  <c:v>7881.9392110616636</c:v>
                </c:pt>
                <c:pt idx="34">
                  <c:v>8373.9903204816346</c:v>
                </c:pt>
                <c:pt idx="35">
                  <c:v>9081.422412048847</c:v>
                </c:pt>
                <c:pt idx="36">
                  <c:v>9788.3682028639505</c:v>
                </c:pt>
                <c:pt idx="37">
                  <c:v>11002.804099426618</c:v>
                </c:pt>
                <c:pt idx="38">
                  <c:v>12132.014935933918</c:v>
                </c:pt>
                <c:pt idx="39">
                  <c:v>12529.358670555303</c:v>
                </c:pt>
                <c:pt idx="40">
                  <c:v>13523.004739279306</c:v>
                </c:pt>
                <c:pt idx="41">
                  <c:v>15092.879271304215</c:v>
                </c:pt>
                <c:pt idx="42">
                  <c:v>16502.240181051773</c:v>
                </c:pt>
              </c:numCache>
            </c:numRef>
          </c:val>
        </c:ser>
        <c:marker val="1"/>
        <c:axId val="131396736"/>
        <c:axId val="131398272"/>
      </c:lineChart>
      <c:catAx>
        <c:axId val="131396736"/>
        <c:scaling>
          <c:orientation val="minMax"/>
        </c:scaling>
        <c:axPos val="b"/>
        <c:numFmt formatCode="General" sourceLinked="1"/>
        <c:tickLblPos val="nextTo"/>
        <c:spPr>
          <a:ln w="3175">
            <a:solidFill>
              <a:srgbClr val="000000"/>
            </a:solidFill>
            <a:prstDash val="solid"/>
          </a:ln>
        </c:spPr>
        <c:txPr>
          <a:bodyPr rot="-2700000" vert="horz"/>
          <a:lstStyle/>
          <a:p>
            <a:pPr>
              <a:defRPr sz="800" b="0" i="1" u="none" strike="noStrike" baseline="0">
                <a:solidFill>
                  <a:srgbClr val="0000FF"/>
                </a:solidFill>
                <a:latin typeface="Arial"/>
                <a:ea typeface="Arial"/>
                <a:cs typeface="Arial"/>
              </a:defRPr>
            </a:pPr>
            <a:endParaRPr lang="es-ES"/>
          </a:p>
        </c:txPr>
        <c:crossAx val="131398272"/>
        <c:crosses val="autoZero"/>
        <c:auto val="1"/>
        <c:lblAlgn val="ctr"/>
        <c:lblOffset val="100"/>
        <c:tickLblSkip val="2"/>
        <c:tickMarkSkip val="1"/>
      </c:catAx>
      <c:valAx>
        <c:axId val="131398272"/>
        <c:scaling>
          <c:orientation val="minMax"/>
          <c:max val="20000"/>
        </c:scaling>
        <c:axPos val="l"/>
        <c:majorGridlines>
          <c:spPr>
            <a:ln w="12700">
              <a:solidFill>
                <a:srgbClr val="FF0000"/>
              </a:solidFill>
              <a:prstDash val="solid"/>
            </a:ln>
          </c:spPr>
        </c:majorGridlines>
        <c:numFmt formatCode="_-* #,##0_-;\-* #,##0_-;_-* &quot;-&quot;??_-;_-@_-" sourceLinked="1"/>
        <c:tickLblPos val="nextTo"/>
        <c:spPr>
          <a:ln w="9525">
            <a:noFill/>
          </a:ln>
        </c:spPr>
        <c:txPr>
          <a:bodyPr rot="0" vert="horz"/>
          <a:lstStyle/>
          <a:p>
            <a:pPr>
              <a:defRPr sz="800" b="0" i="1" u="none" strike="noStrike" baseline="0">
                <a:solidFill>
                  <a:srgbClr val="0000FF"/>
                </a:solidFill>
                <a:latin typeface="Arial"/>
                <a:ea typeface="Arial"/>
                <a:cs typeface="Arial"/>
              </a:defRPr>
            </a:pPr>
            <a:endParaRPr lang="es-ES"/>
          </a:p>
        </c:txPr>
        <c:crossAx val="131396736"/>
        <c:crosses val="autoZero"/>
        <c:crossBetween val="between"/>
        <c:majorUnit val="4000"/>
      </c:valAx>
      <c:spPr>
        <a:gradFill>
          <a:gsLst>
            <a:gs pos="0">
              <a:srgbClr val="5E9EFF"/>
            </a:gs>
            <a:gs pos="39999">
              <a:srgbClr val="85C2FF"/>
            </a:gs>
            <a:gs pos="70000">
              <a:srgbClr val="C4D6EB"/>
            </a:gs>
            <a:gs pos="100000">
              <a:srgbClr val="FFEBFA"/>
            </a:gs>
          </a:gsLst>
          <a:lin ang="5400000" scaled="0"/>
        </a:gradFill>
        <a:ln w="25400">
          <a:noFill/>
        </a:ln>
      </c:spPr>
    </c:plotArea>
    <c:legend>
      <c:legendPos val="r"/>
      <c:layout>
        <c:manualLayout>
          <c:xMode val="edge"/>
          <c:yMode val="edge"/>
          <c:x val="0.54990235809564858"/>
          <c:y val="0.66362348542049199"/>
          <c:w val="0.41813478794602732"/>
          <c:h val="0.10350124042713904"/>
        </c:manualLayout>
      </c:layout>
      <c:spPr>
        <a:noFill/>
        <a:ln w="3175">
          <a:solidFill>
            <a:srgbClr val="000000"/>
          </a:solidFill>
          <a:prstDash val="solid"/>
        </a:ln>
      </c:spPr>
      <c:txPr>
        <a:bodyPr/>
        <a:lstStyle/>
        <a:p>
          <a:pPr>
            <a:defRPr sz="895" b="0" i="0" u="none" strike="noStrike" baseline="0">
              <a:solidFill>
                <a:srgbClr val="000000"/>
              </a:solidFill>
              <a:latin typeface="Arial"/>
              <a:ea typeface="Arial"/>
              <a:cs typeface="Arial"/>
            </a:defRPr>
          </a:pPr>
          <a:endParaRPr lang="es-ES"/>
        </a:p>
      </c:txPr>
    </c:legend>
    <c:plotVisOnly val="1"/>
    <c:dispBlanksAs val="gap"/>
  </c:chart>
  <c:spPr>
    <a:solidFill>
      <a:srgbClr val="CCFFCC"/>
    </a:solidFill>
    <a:ln w="9525">
      <a:noFill/>
    </a:ln>
  </c:spPr>
  <c:txPr>
    <a:bodyPr/>
    <a:lstStyle/>
    <a:p>
      <a:pPr>
        <a:defRPr sz="975" b="0" i="0" u="none" strike="noStrike" baseline="0">
          <a:solidFill>
            <a:srgbClr val="000000"/>
          </a:solidFill>
          <a:latin typeface="Arial"/>
          <a:ea typeface="Arial"/>
          <a:cs typeface="Arial"/>
        </a:defRPr>
      </a:pPr>
      <a:endParaRPr lang="es-ES"/>
    </a:p>
  </c:txPr>
  <c:printSettings>
    <c:headerFooter alignWithMargins="0"/>
    <c:pageMargins b="1" l="0.75000000000000744" r="0.75000000000000744" t="1" header="0" footer="0"/>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025" b="1" i="0" u="none" strike="noStrike" baseline="0">
                <a:solidFill>
                  <a:srgbClr val="000000"/>
                </a:solidFill>
                <a:latin typeface="Arial"/>
                <a:ea typeface="Arial"/>
                <a:cs typeface="Arial"/>
              </a:defRPr>
            </a:pPr>
            <a:r>
              <a:rPr lang="es-ES" sz="1025" b="1" i="0" strike="noStrike">
                <a:solidFill>
                  <a:srgbClr val="000000"/>
                </a:solidFill>
                <a:latin typeface="Arial"/>
                <a:cs typeface="Arial"/>
              </a:rPr>
              <a:t>PIB MANUFACTURERO</a:t>
            </a:r>
          </a:p>
          <a:p>
            <a:pPr>
              <a:defRPr sz="1025" b="1" i="0" u="none" strike="noStrike" baseline="0">
                <a:solidFill>
                  <a:srgbClr val="000000"/>
                </a:solidFill>
                <a:latin typeface="Arial"/>
                <a:ea typeface="Arial"/>
                <a:cs typeface="Arial"/>
              </a:defRPr>
            </a:pPr>
            <a:r>
              <a:rPr lang="es-ES" sz="850" b="1" i="0" strike="noStrike">
                <a:solidFill>
                  <a:srgbClr val="000000"/>
                </a:solidFill>
                <a:latin typeface="Arial"/>
                <a:cs typeface="Arial"/>
              </a:rPr>
              <a:t> (Millones de Balboas a precios de 1982)</a:t>
            </a:r>
          </a:p>
          <a:p>
            <a:pPr>
              <a:defRPr sz="1025" b="1" i="0" u="none" strike="noStrike" baseline="0">
                <a:solidFill>
                  <a:srgbClr val="000000"/>
                </a:solidFill>
                <a:latin typeface="Arial"/>
                <a:ea typeface="Arial"/>
                <a:cs typeface="Arial"/>
              </a:defRPr>
            </a:pPr>
            <a:r>
              <a:rPr lang="es-ES" sz="875" b="1" i="0" strike="noStrike">
                <a:solidFill>
                  <a:srgbClr val="000000"/>
                </a:solidFill>
                <a:latin typeface="Arial"/>
                <a:cs typeface="Arial"/>
              </a:rPr>
              <a:t>DATOS HISTÓRICOS 1970-2011</a:t>
            </a:r>
          </a:p>
          <a:p>
            <a:pPr>
              <a:defRPr sz="1025" b="1" i="0" u="none" strike="noStrike" baseline="0">
                <a:solidFill>
                  <a:srgbClr val="000000"/>
                </a:solidFill>
                <a:latin typeface="Arial"/>
                <a:ea typeface="Arial"/>
                <a:cs typeface="Arial"/>
              </a:defRPr>
            </a:pPr>
            <a:endParaRPr lang="es-ES" sz="875" b="1" i="0" strike="noStrike">
              <a:solidFill>
                <a:srgbClr val="000000"/>
              </a:solidFill>
              <a:latin typeface="Arial"/>
              <a:cs typeface="Arial"/>
            </a:endParaRPr>
          </a:p>
        </c:rich>
      </c:tx>
      <c:layout>
        <c:manualLayout>
          <c:xMode val="edge"/>
          <c:yMode val="edge"/>
          <c:x val="0.12500024220347028"/>
          <c:y val="2.4509921252303789E-2"/>
        </c:manualLayout>
      </c:layout>
      <c:spPr>
        <a:noFill/>
        <a:ln w="25400">
          <a:noFill/>
        </a:ln>
      </c:spPr>
    </c:title>
    <c:plotArea>
      <c:layout>
        <c:manualLayout>
          <c:layoutTarget val="inner"/>
          <c:xMode val="edge"/>
          <c:yMode val="edge"/>
          <c:x val="0.12896850386072539"/>
          <c:y val="0.26470714952488095"/>
          <c:w val="0.86309691045254122"/>
          <c:h val="0.51470834629838869"/>
        </c:manualLayout>
      </c:layout>
      <c:lineChart>
        <c:grouping val="standard"/>
        <c:ser>
          <c:idx val="0"/>
          <c:order val="0"/>
          <c:tx>
            <c:strRef>
              <c:f>'12-PIB-Optimista Base-1982'!$D$6</c:f>
              <c:strCache>
                <c:ptCount val="1"/>
                <c:pt idx="0">
                  <c:v>PIB IND</c:v>
                </c:pt>
              </c:strCache>
            </c:strRef>
          </c:tx>
          <c:spPr>
            <a:ln w="38100">
              <a:solidFill>
                <a:srgbClr val="000080"/>
              </a:solidFill>
              <a:prstDash val="solid"/>
            </a:ln>
          </c:spPr>
          <c:marker>
            <c:symbol val="none"/>
          </c:marker>
          <c:trendline>
            <c:spPr>
              <a:ln w="38100">
                <a:solidFill>
                  <a:srgbClr val="FF00FF"/>
                </a:solidFill>
                <a:prstDash val="solid"/>
              </a:ln>
            </c:spPr>
            <c:trendlineType val="linear"/>
            <c:dispRSqr val="1"/>
            <c:dispEq val="1"/>
            <c:trendlineLbl>
              <c:layout>
                <c:manualLayout>
                  <c:x val="4.2468764001357004E-2"/>
                  <c:y val="-0.31469958932358238"/>
                </c:manualLayout>
              </c:layout>
              <c:tx>
                <c:rich>
                  <a:bodyPr/>
                  <a:lstStyle/>
                  <a:p>
                    <a:pPr>
                      <a:defRPr sz="1200" b="0" i="0" u="none" strike="noStrike" baseline="0">
                        <a:solidFill>
                          <a:srgbClr val="000000"/>
                        </a:solidFill>
                        <a:latin typeface="Arial"/>
                        <a:ea typeface="Arial"/>
                        <a:cs typeface="Arial"/>
                      </a:defRPr>
                    </a:pPr>
                    <a:r>
                      <a:rPr lang="es-ES" sz="1200" b="0" i="0" strike="noStrike">
                        <a:solidFill>
                          <a:srgbClr val="000000"/>
                        </a:solidFill>
                        <a:latin typeface="Arial"/>
                        <a:cs typeface="Arial"/>
                      </a:rPr>
                      <a:t>R</a:t>
                    </a:r>
                    <a:r>
                      <a:rPr lang="es-ES" sz="1200" b="0" i="0" strike="noStrike" baseline="30000">
                        <a:solidFill>
                          <a:srgbClr val="000000"/>
                        </a:solidFill>
                        <a:latin typeface="Arial"/>
                        <a:cs typeface="Arial"/>
                      </a:rPr>
                      <a:t>2</a:t>
                    </a:r>
                    <a:r>
                      <a:rPr lang="es-ES" sz="1200" b="0" i="0" strike="noStrike">
                        <a:solidFill>
                          <a:srgbClr val="000000"/>
                        </a:solidFill>
                        <a:latin typeface="Arial"/>
                        <a:cs typeface="Arial"/>
                      </a:rPr>
                      <a:t> = 0.7725</a:t>
                    </a:r>
                  </a:p>
                </c:rich>
              </c:tx>
              <c:numFmt formatCode="General" sourceLinked="0"/>
              <c:spPr>
                <a:noFill/>
                <a:ln w="25400">
                  <a:noFill/>
                </a:ln>
              </c:spPr>
            </c:trendlineLbl>
          </c:trendline>
          <c:cat>
            <c:numRef>
              <c:f>'12-PIB-Optimista Base-1982'!$A$7:$A$49</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'12-PIB-Optimista Base-1982'!$D$7:$D$49</c:f>
              <c:numCache>
                <c:formatCode>_-* #,##0.0_-;\-* #,##0.0_-;_-* "-"??_-;_-@_-</c:formatCode>
                <c:ptCount val="43"/>
                <c:pt idx="0">
                  <c:v>305.02217877094967</c:v>
                </c:pt>
                <c:pt idx="1">
                  <c:v>324.43050279329606</c:v>
                </c:pt>
                <c:pt idx="2">
                  <c:v>339.28625698324015</c:v>
                </c:pt>
                <c:pt idx="3">
                  <c:v>360.61145251396641</c:v>
                </c:pt>
                <c:pt idx="4">
                  <c:v>365.40363128491617</c:v>
                </c:pt>
                <c:pt idx="5">
                  <c:v>352.22513966480443</c:v>
                </c:pt>
                <c:pt idx="6">
                  <c:v>361.09067039106139</c:v>
                </c:pt>
                <c:pt idx="7">
                  <c:v>365.40363128491612</c:v>
                </c:pt>
                <c:pt idx="8">
                  <c:v>371.15424581005578</c:v>
                </c:pt>
                <c:pt idx="9">
                  <c:v>412.1273743016759</c:v>
                </c:pt>
                <c:pt idx="10">
                  <c:v>428.9</c:v>
                </c:pt>
                <c:pt idx="11">
                  <c:v>418</c:v>
                </c:pt>
                <c:pt idx="12">
                  <c:v>433</c:v>
                </c:pt>
                <c:pt idx="13">
                  <c:v>423.7</c:v>
                </c:pt>
                <c:pt idx="14">
                  <c:v>452.7</c:v>
                </c:pt>
                <c:pt idx="15">
                  <c:v>478.1</c:v>
                </c:pt>
                <c:pt idx="16">
                  <c:v>481.4</c:v>
                </c:pt>
                <c:pt idx="17">
                  <c:v>514.5</c:v>
                </c:pt>
                <c:pt idx="18">
                  <c:v>398.9</c:v>
                </c:pt>
                <c:pt idx="19">
                  <c:v>404.1</c:v>
                </c:pt>
                <c:pt idx="20">
                  <c:v>459.8</c:v>
                </c:pt>
                <c:pt idx="21">
                  <c:v>507.9</c:v>
                </c:pt>
                <c:pt idx="22">
                  <c:v>554.4</c:v>
                </c:pt>
                <c:pt idx="23">
                  <c:v>589.5</c:v>
                </c:pt>
                <c:pt idx="24">
                  <c:v>614.6</c:v>
                </c:pt>
                <c:pt idx="25">
                  <c:v>615.79999999999995</c:v>
                </c:pt>
                <c:pt idx="26">
                  <c:v>608.1</c:v>
                </c:pt>
                <c:pt idx="27">
                  <c:v>627.8988604503935</c:v>
                </c:pt>
                <c:pt idx="28">
                  <c:v>672.1</c:v>
                </c:pt>
                <c:pt idx="29">
                  <c:v>622</c:v>
                </c:pt>
                <c:pt idx="30">
                  <c:v>589.20000000000005</c:v>
                </c:pt>
                <c:pt idx="31">
                  <c:v>555.6</c:v>
                </c:pt>
                <c:pt idx="32">
                  <c:v>541.03735749780765</c:v>
                </c:pt>
                <c:pt idx="33">
                  <c:v>522.63104355451617</c:v>
                </c:pt>
                <c:pt idx="34">
                  <c:v>533.51242326805016</c:v>
                </c:pt>
                <c:pt idx="35">
                  <c:v>555.92481730488157</c:v>
                </c:pt>
                <c:pt idx="36">
                  <c:v>577.47103186202855</c:v>
                </c:pt>
                <c:pt idx="37">
                  <c:v>609.95276235018991</c:v>
                </c:pt>
                <c:pt idx="38">
                  <c:v>633.88172838351363</c:v>
                </c:pt>
                <c:pt idx="39">
                  <c:v>630.09143525285003</c:v>
                </c:pt>
                <c:pt idx="40">
                  <c:v>637.02087109032436</c:v>
                </c:pt>
                <c:pt idx="41">
                  <c:v>657.59263373282647</c:v>
                </c:pt>
                <c:pt idx="42">
                  <c:v>679.74957772108917</c:v>
                </c:pt>
              </c:numCache>
            </c:numRef>
          </c:val>
        </c:ser>
        <c:marker val="1"/>
        <c:axId val="131465216"/>
        <c:axId val="131466752"/>
      </c:lineChart>
      <c:catAx>
        <c:axId val="131465216"/>
        <c:scaling>
          <c:orientation val="minMax"/>
        </c:scaling>
        <c:axPos val="b"/>
        <c:numFmt formatCode="General" sourceLinked="1"/>
        <c:tickLblPos val="nextTo"/>
        <c:spPr>
          <a:ln w="3175">
            <a:solidFill>
              <a:srgbClr val="000000"/>
            </a:solidFill>
            <a:prstDash val="solid"/>
          </a:ln>
        </c:spPr>
        <c:txPr>
          <a:bodyPr rot="-2700000" vert="horz"/>
          <a:lstStyle/>
          <a:p>
            <a:pPr>
              <a:defRPr sz="800" b="0" i="1" u="none" strike="noStrike" baseline="0">
                <a:solidFill>
                  <a:srgbClr val="0000FF"/>
                </a:solidFill>
                <a:latin typeface="Arial"/>
                <a:ea typeface="Arial"/>
                <a:cs typeface="Arial"/>
              </a:defRPr>
            </a:pPr>
            <a:endParaRPr lang="es-ES"/>
          </a:p>
        </c:txPr>
        <c:crossAx val="131466752"/>
        <c:crosses val="autoZero"/>
        <c:auto val="1"/>
        <c:lblAlgn val="ctr"/>
        <c:lblOffset val="100"/>
        <c:tickLblSkip val="2"/>
        <c:tickMarkSkip val="1"/>
      </c:catAx>
      <c:valAx>
        <c:axId val="131466752"/>
        <c:scaling>
          <c:orientation val="minMax"/>
          <c:min val="200"/>
        </c:scaling>
        <c:axPos val="l"/>
        <c:majorGridlines>
          <c:spPr>
            <a:ln w="12700">
              <a:solidFill>
                <a:srgbClr val="FF0000"/>
              </a:solidFill>
              <a:prstDash val="solid"/>
            </a:ln>
          </c:spPr>
        </c:majorGridlines>
        <c:numFmt formatCode="#,##0" sourceLinked="0"/>
        <c:tickLblPos val="nextTo"/>
        <c:spPr>
          <a:ln w="9525">
            <a:noFill/>
          </a:ln>
        </c:spPr>
        <c:txPr>
          <a:bodyPr rot="0" vert="horz"/>
          <a:lstStyle/>
          <a:p>
            <a:pPr>
              <a:defRPr sz="1050" b="0" i="1" u="none" strike="noStrike" baseline="0">
                <a:solidFill>
                  <a:srgbClr val="0000FF"/>
                </a:solidFill>
                <a:latin typeface="Arial"/>
                <a:ea typeface="Arial"/>
                <a:cs typeface="Arial"/>
              </a:defRPr>
            </a:pPr>
            <a:endParaRPr lang="es-ES"/>
          </a:p>
        </c:txPr>
        <c:crossAx val="131465216"/>
        <c:crosses val="autoZero"/>
        <c:crossBetween val="between"/>
      </c:valAx>
      <c:spPr>
        <a:gradFill>
          <a:gsLst>
            <a:gs pos="0">
              <a:srgbClr val="5E9EFF"/>
            </a:gs>
            <a:gs pos="39999">
              <a:srgbClr val="85C2FF"/>
            </a:gs>
            <a:gs pos="70000">
              <a:srgbClr val="C4D6EB"/>
            </a:gs>
            <a:gs pos="100000">
              <a:srgbClr val="FFEBFA"/>
            </a:gs>
          </a:gsLst>
          <a:lin ang="5400000" scaled="0"/>
        </a:gradFill>
        <a:ln w="25400">
          <a:noFill/>
        </a:ln>
      </c:spPr>
    </c:plotArea>
    <c:legend>
      <c:legendPos val="r"/>
      <c:layout>
        <c:manualLayout>
          <c:xMode val="edge"/>
          <c:yMode val="edge"/>
          <c:x val="0.48082114735658082"/>
          <c:y val="0.63072204209768201"/>
          <c:w val="0.49801683798526369"/>
          <c:h val="0.11764762201105819"/>
        </c:manualLayout>
      </c:layout>
      <c:spPr>
        <a:noFill/>
        <a:ln w="3175">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es-ES"/>
        </a:p>
      </c:txPr>
    </c:legend>
    <c:plotVisOnly val="1"/>
    <c:dispBlanksAs val="gap"/>
  </c:chart>
  <c:spPr>
    <a:solidFill>
      <a:srgbClr val="CCFFFF"/>
    </a:solidFill>
    <a:ln w="9525">
      <a:noFill/>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000000000000744" r="0.75000000000000744" t="1" header="0" footer="0"/>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75" b="1" i="0" u="none" strike="noStrike" baseline="0">
                <a:solidFill>
                  <a:srgbClr val="000000"/>
                </a:solidFill>
                <a:latin typeface="Arial"/>
                <a:ea typeface="Arial"/>
                <a:cs typeface="Arial"/>
              </a:defRPr>
            </a:pPr>
            <a:r>
              <a:rPr lang="es-ES" sz="975" b="1" i="0" strike="noStrike">
                <a:solidFill>
                  <a:srgbClr val="000000"/>
                </a:solidFill>
                <a:latin typeface="Arial"/>
                <a:cs typeface="Arial"/>
              </a:rPr>
              <a:t>PIB MANUFACTURERO</a:t>
            </a:r>
            <a:endParaRPr lang="es-ES" sz="800" b="1" i="0" strike="noStrike">
              <a:solidFill>
                <a:srgbClr val="000000"/>
              </a:solidFill>
              <a:latin typeface="Arial"/>
              <a:cs typeface="Arial"/>
            </a:endParaRPr>
          </a:p>
          <a:p>
            <a:pPr>
              <a:defRPr sz="975" b="1" i="0" u="none" strike="noStrike" baseline="0">
                <a:solidFill>
                  <a:srgbClr val="000000"/>
                </a:solidFill>
                <a:latin typeface="Arial"/>
                <a:ea typeface="Arial"/>
                <a:cs typeface="Arial"/>
              </a:defRPr>
            </a:pPr>
            <a:r>
              <a:rPr lang="es-ES" sz="800" b="1" i="0" strike="noStrike">
                <a:solidFill>
                  <a:srgbClr val="000000"/>
                </a:solidFill>
                <a:latin typeface="Arial"/>
                <a:cs typeface="Arial"/>
              </a:rPr>
              <a:t> (Millones de Balboas a precios de 1982)</a:t>
            </a:r>
          </a:p>
          <a:p>
            <a:pPr>
              <a:defRPr sz="975" b="1" i="0" u="none" strike="noStrike" baseline="0">
                <a:solidFill>
                  <a:srgbClr val="000000"/>
                </a:solidFill>
                <a:latin typeface="Arial"/>
                <a:ea typeface="Arial"/>
                <a:cs typeface="Arial"/>
              </a:defRPr>
            </a:pPr>
            <a:r>
              <a:rPr lang="es-ES" sz="800" b="1" i="0" strike="noStrike">
                <a:solidFill>
                  <a:srgbClr val="000000"/>
                </a:solidFill>
                <a:latin typeface="Arial"/>
                <a:cs typeface="Arial"/>
              </a:rPr>
              <a:t>2003 - 2026</a:t>
            </a:r>
          </a:p>
          <a:p>
            <a:pPr>
              <a:defRPr sz="975" b="1" i="0" u="none" strike="noStrike" baseline="0">
                <a:solidFill>
                  <a:srgbClr val="000000"/>
                </a:solidFill>
                <a:latin typeface="Arial"/>
                <a:ea typeface="Arial"/>
                <a:cs typeface="Arial"/>
              </a:defRPr>
            </a:pPr>
            <a:r>
              <a:rPr lang="es-ES" sz="800" b="1" i="0" strike="noStrike">
                <a:solidFill>
                  <a:srgbClr val="000000"/>
                </a:solidFill>
                <a:latin typeface="Arial"/>
                <a:cs typeface="Arial"/>
              </a:rPr>
              <a:t> (Historia reciente + Proyección)</a:t>
            </a:r>
          </a:p>
        </c:rich>
      </c:tx>
      <c:layout>
        <c:manualLayout>
          <c:xMode val="edge"/>
          <c:yMode val="edge"/>
          <c:x val="0.10256430011922962"/>
          <c:y val="2.4509921252303789E-2"/>
        </c:manualLayout>
      </c:layout>
      <c:spPr>
        <a:noFill/>
        <a:ln w="25400">
          <a:noFill/>
        </a:ln>
      </c:spPr>
    </c:title>
    <c:plotArea>
      <c:layout>
        <c:manualLayout>
          <c:layoutTarget val="inner"/>
          <c:xMode val="edge"/>
          <c:yMode val="edge"/>
          <c:x val="0.12031581360140355"/>
          <c:y val="0.26470714952488095"/>
          <c:w val="0.86390698946581734"/>
          <c:h val="0.51470834629838869"/>
        </c:manualLayout>
      </c:layout>
      <c:lineChart>
        <c:grouping val="standard"/>
        <c:ser>
          <c:idx val="0"/>
          <c:order val="0"/>
          <c:tx>
            <c:strRef>
              <c:f>'12-PIB-Optimista Base-1982'!$D$6</c:f>
              <c:strCache>
                <c:ptCount val="1"/>
                <c:pt idx="0">
                  <c:v>PIB IND</c:v>
                </c:pt>
              </c:strCache>
            </c:strRef>
          </c:tx>
          <c:spPr>
            <a:ln w="38100">
              <a:solidFill>
                <a:srgbClr val="000080"/>
              </a:solidFill>
              <a:prstDash val="solid"/>
            </a:ln>
          </c:spPr>
          <c:marker>
            <c:symbol val="none"/>
          </c:marker>
          <c:trendline>
            <c:spPr>
              <a:ln w="38100">
                <a:solidFill>
                  <a:srgbClr val="FF0000"/>
                </a:solidFill>
                <a:prstDash val="solid"/>
              </a:ln>
            </c:spPr>
            <c:trendlineType val="linear"/>
            <c:dispRSqr val="1"/>
            <c:trendlineLbl>
              <c:layout>
                <c:manualLayout>
                  <c:x val="3.1758926124206936E-2"/>
                  <c:y val="-0.26960870815733001"/>
                </c:manualLayout>
              </c:layout>
              <c:tx>
                <c:rich>
                  <a:bodyPr/>
                  <a:lstStyle/>
                  <a:p>
                    <a:pPr>
                      <a:defRPr sz="1200" b="0" i="0" u="none" strike="noStrike" baseline="0">
                        <a:solidFill>
                          <a:srgbClr val="000000"/>
                        </a:solidFill>
                        <a:latin typeface="Arial"/>
                        <a:ea typeface="Arial"/>
                        <a:cs typeface="Arial"/>
                      </a:defRPr>
                    </a:pPr>
                    <a:r>
                      <a:rPr lang="es-ES" sz="1200" b="0" i="0" strike="noStrike">
                        <a:solidFill>
                          <a:srgbClr val="000000"/>
                        </a:solidFill>
                        <a:latin typeface="Arial"/>
                        <a:cs typeface="Arial"/>
                      </a:rPr>
                      <a:t>R</a:t>
                    </a:r>
                    <a:r>
                      <a:rPr lang="es-ES" sz="1200" b="0" i="0" strike="noStrike" baseline="30000">
                        <a:solidFill>
                          <a:srgbClr val="000000"/>
                        </a:solidFill>
                        <a:latin typeface="Arial"/>
                        <a:cs typeface="Arial"/>
                      </a:rPr>
                      <a:t>2</a:t>
                    </a:r>
                    <a:r>
                      <a:rPr lang="es-ES" sz="1200" b="0" i="0" strike="noStrike">
                        <a:solidFill>
                          <a:srgbClr val="000000"/>
                        </a:solidFill>
                        <a:latin typeface="Arial"/>
                        <a:cs typeface="Arial"/>
                      </a:rPr>
                      <a:t> = 0.9885</a:t>
                    </a:r>
                  </a:p>
                </c:rich>
              </c:tx>
              <c:numFmt formatCode="General" sourceLinked="0"/>
              <c:spPr>
                <a:noFill/>
                <a:ln w="25400">
                  <a:noFill/>
                </a:ln>
              </c:spPr>
            </c:trendlineLbl>
          </c:trendline>
          <c:cat>
            <c:numRef>
              <c:f>'12-PIB-Optimista Base-1982'!$A$40:$A$64</c:f>
              <c:numCache>
                <c:formatCode>General</c:formatCode>
                <c:ptCount val="2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numCache>
            </c:numRef>
          </c:cat>
          <c:val>
            <c:numRef>
              <c:f>'12-PIB-Optimista Base-1982'!$D$40:$D$64</c:f>
              <c:numCache>
                <c:formatCode>_-* #,##0.0_-;\-* #,##0.0_-;_-* "-"??_-;_-@_-</c:formatCode>
                <c:ptCount val="25"/>
                <c:pt idx="0">
                  <c:v>522.63104355451617</c:v>
                </c:pt>
                <c:pt idx="1">
                  <c:v>533.51242326805016</c:v>
                </c:pt>
                <c:pt idx="2">
                  <c:v>555.92481730488157</c:v>
                </c:pt>
                <c:pt idx="3">
                  <c:v>577.47103186202855</c:v>
                </c:pt>
                <c:pt idx="4">
                  <c:v>609.95276235018991</c:v>
                </c:pt>
                <c:pt idx="5">
                  <c:v>633.88172838351363</c:v>
                </c:pt>
                <c:pt idx="6">
                  <c:v>630.09143525285003</c:v>
                </c:pt>
                <c:pt idx="7">
                  <c:v>637.02087109032436</c:v>
                </c:pt>
                <c:pt idx="8">
                  <c:v>657.59263373282647</c:v>
                </c:pt>
                <c:pt idx="9">
                  <c:v>679.74957772108917</c:v>
                </c:pt>
                <c:pt idx="10">
                  <c:v>701.70120851347576</c:v>
                </c:pt>
                <c:pt idx="11">
                  <c:v>735.10282734979876</c:v>
                </c:pt>
                <c:pt idx="12">
                  <c:v>804.84540748004133</c:v>
                </c:pt>
                <c:pt idx="13">
                  <c:v>843.59128533017611</c:v>
                </c:pt>
                <c:pt idx="14">
                  <c:v>882.33716318031099</c:v>
                </c:pt>
                <c:pt idx="15">
                  <c:v>926.9617259456387</c:v>
                </c:pt>
                <c:pt idx="16">
                  <c:v>971.58628871096641</c:v>
                </c:pt>
                <c:pt idx="17">
                  <c:v>1019.9518327859621</c:v>
                </c:pt>
                <c:pt idx="18">
                  <c:v>1066.7140991568144</c:v>
                </c:pt>
                <c:pt idx="19">
                  <c:v>1118.5534115907881</c:v>
                </c:pt>
                <c:pt idx="20">
                  <c:v>1171.1943628768333</c:v>
                </c:pt>
                <c:pt idx="21">
                  <c:v>1236.1271098946454</c:v>
                </c:pt>
                <c:pt idx="22">
                  <c:v>1289.8369129834527</c:v>
                </c:pt>
                <c:pt idx="23">
                  <c:v>1351.841670196965</c:v>
                </c:pt>
                <c:pt idx="24">
                  <c:v>1416.8271065013043</c:v>
                </c:pt>
              </c:numCache>
            </c:numRef>
          </c:val>
        </c:ser>
        <c:marker val="1"/>
        <c:axId val="131508096"/>
        <c:axId val="131509632"/>
      </c:lineChart>
      <c:catAx>
        <c:axId val="131508096"/>
        <c:scaling>
          <c:orientation val="minMax"/>
        </c:scaling>
        <c:axPos val="b"/>
        <c:numFmt formatCode="General" sourceLinked="1"/>
        <c:tickLblPos val="nextTo"/>
        <c:spPr>
          <a:ln w="3175">
            <a:solidFill>
              <a:srgbClr val="000000"/>
            </a:solidFill>
            <a:prstDash val="solid"/>
          </a:ln>
        </c:spPr>
        <c:txPr>
          <a:bodyPr rot="-2700000" vert="horz"/>
          <a:lstStyle/>
          <a:p>
            <a:pPr>
              <a:defRPr sz="800" b="0" i="1" u="none" strike="noStrike" baseline="0">
                <a:solidFill>
                  <a:srgbClr val="0000FF"/>
                </a:solidFill>
                <a:latin typeface="Arial"/>
                <a:ea typeface="Arial"/>
                <a:cs typeface="Arial"/>
              </a:defRPr>
            </a:pPr>
            <a:endParaRPr lang="es-ES"/>
          </a:p>
        </c:txPr>
        <c:crossAx val="131509632"/>
        <c:crosses val="autoZero"/>
        <c:auto val="1"/>
        <c:lblAlgn val="ctr"/>
        <c:lblOffset val="100"/>
        <c:tickLblSkip val="2"/>
        <c:tickMarkSkip val="1"/>
      </c:catAx>
      <c:valAx>
        <c:axId val="131509632"/>
        <c:scaling>
          <c:orientation val="minMax"/>
          <c:min val="400"/>
        </c:scaling>
        <c:axPos val="l"/>
        <c:majorGridlines>
          <c:spPr>
            <a:ln w="12700">
              <a:solidFill>
                <a:srgbClr val="FF0000"/>
              </a:solidFill>
              <a:prstDash val="solid"/>
            </a:ln>
          </c:spPr>
        </c:majorGridlines>
        <c:numFmt formatCode="#,##0" sourceLinked="0"/>
        <c:tickLblPos val="nextTo"/>
        <c:spPr>
          <a:ln w="9525">
            <a:noFill/>
          </a:ln>
        </c:spPr>
        <c:txPr>
          <a:bodyPr rot="0" vert="horz"/>
          <a:lstStyle/>
          <a:p>
            <a:pPr>
              <a:defRPr sz="800" b="0" i="1" u="none" strike="noStrike" baseline="0">
                <a:solidFill>
                  <a:srgbClr val="0000FF"/>
                </a:solidFill>
                <a:latin typeface="Arial"/>
                <a:ea typeface="Arial"/>
                <a:cs typeface="Arial"/>
              </a:defRPr>
            </a:pPr>
            <a:endParaRPr lang="es-ES"/>
          </a:p>
        </c:txPr>
        <c:crossAx val="131508096"/>
        <c:crosses val="autoZero"/>
        <c:crossBetween val="between"/>
      </c:valAx>
      <c:spPr>
        <a:gradFill>
          <a:gsLst>
            <a:gs pos="0">
              <a:srgbClr val="5E9EFF"/>
            </a:gs>
            <a:gs pos="39999">
              <a:srgbClr val="85C2FF"/>
            </a:gs>
            <a:gs pos="70000">
              <a:srgbClr val="C4D6EB"/>
            </a:gs>
            <a:gs pos="100000">
              <a:srgbClr val="FFEBFA"/>
            </a:gs>
          </a:gsLst>
          <a:lin ang="5400000" scaled="0"/>
        </a:gradFill>
        <a:ln w="25400">
          <a:noFill/>
        </a:ln>
      </c:spPr>
    </c:plotArea>
    <c:legend>
      <c:legendPos val="r"/>
      <c:layout>
        <c:manualLayout>
          <c:xMode val="edge"/>
          <c:yMode val="edge"/>
          <c:x val="0.49704237750088714"/>
          <c:y val="0.62745398405897701"/>
          <c:w val="0.49506998711397954"/>
          <c:h val="0.11764762201105819"/>
        </c:manualLayout>
      </c:layout>
      <c:spPr>
        <a:noFill/>
        <a:ln w="3175">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es-ES"/>
        </a:p>
      </c:txPr>
    </c:legend>
    <c:plotVisOnly val="1"/>
    <c:dispBlanksAs val="gap"/>
  </c:chart>
  <c:spPr>
    <a:solidFill>
      <a:srgbClr val="CCFFFF"/>
    </a:solidFill>
    <a:ln w="9525">
      <a:noFill/>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000000000000744" r="0.75000000000000744" t="1" header="0" footer="0"/>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200" b="1" i="0" u="none" strike="noStrike" baseline="0">
                <a:solidFill>
                  <a:srgbClr val="008000"/>
                </a:solidFill>
                <a:latin typeface="Arial"/>
                <a:ea typeface="Arial"/>
                <a:cs typeface="Arial"/>
              </a:defRPr>
            </a:pPr>
            <a:r>
              <a:rPr lang="es-ES"/>
              <a:t>PIB (Millones de Balboas a precios de 1982)
DATOS  HISTORICOS</a:t>
            </a:r>
          </a:p>
        </c:rich>
      </c:tx>
      <c:layout>
        <c:manualLayout>
          <c:xMode val="edge"/>
          <c:yMode val="edge"/>
          <c:x val="0.12475838215020821"/>
          <c:y val="4.4002985865299132E-2"/>
        </c:manualLayout>
      </c:layout>
      <c:spPr>
        <a:noFill/>
        <a:ln w="25400">
          <a:noFill/>
        </a:ln>
      </c:spPr>
    </c:title>
    <c:plotArea>
      <c:layout>
        <c:manualLayout>
          <c:layoutTarget val="inner"/>
          <c:xMode val="edge"/>
          <c:yMode val="edge"/>
          <c:x val="0.17803914426801151"/>
          <c:y val="0.22616533025114979"/>
          <c:w val="0.75053215994083056"/>
          <c:h val="0.57030171687254694"/>
        </c:manualLayout>
      </c:layout>
      <c:lineChart>
        <c:grouping val="standard"/>
        <c:ser>
          <c:idx val="1"/>
          <c:order val="0"/>
          <c:tx>
            <c:strRef>
              <c:f>'12-PIB-Optimista Base-1982'!$B$6</c:f>
              <c:strCache>
                <c:ptCount val="1"/>
                <c:pt idx="0">
                  <c:v>PIB REAL</c:v>
                </c:pt>
              </c:strCache>
            </c:strRef>
          </c:tx>
          <c:spPr>
            <a:ln w="38100">
              <a:solidFill>
                <a:srgbClr val="FF0000"/>
              </a:solidFill>
              <a:prstDash val="solid"/>
            </a:ln>
          </c:spPr>
          <c:marker>
            <c:symbol val="none"/>
          </c:marker>
          <c:trendline>
            <c:spPr>
              <a:ln w="38100">
                <a:solidFill>
                  <a:srgbClr val="000000"/>
                </a:solidFill>
                <a:prstDash val="solid"/>
              </a:ln>
            </c:spPr>
            <c:trendlineType val="poly"/>
            <c:order val="2"/>
            <c:dispRSqr val="1"/>
            <c:trendlineLbl>
              <c:layout>
                <c:manualLayout>
                  <c:x val="-6.8043591580225563E-2"/>
                  <c:y val="-4.7086681664167032E-2"/>
                </c:manualLayout>
              </c:layout>
              <c:tx>
                <c:rich>
                  <a:bodyPr/>
                  <a:lstStyle/>
                  <a:p>
                    <a:pPr>
                      <a:defRPr sz="825" b="1" i="0" u="none" strike="noStrike" baseline="0">
                        <a:solidFill>
                          <a:srgbClr val="008000"/>
                        </a:solidFill>
                        <a:latin typeface="Arial"/>
                        <a:ea typeface="Arial"/>
                        <a:cs typeface="Arial"/>
                      </a:defRPr>
                    </a:pPr>
                    <a:r>
                      <a:rPr lang="es-ES" sz="825" b="1" i="0" strike="noStrike">
                        <a:solidFill>
                          <a:srgbClr val="008000"/>
                        </a:solidFill>
                        <a:latin typeface="Arial"/>
                        <a:cs typeface="Arial"/>
                      </a:rPr>
                      <a:t>R</a:t>
                    </a:r>
                    <a:r>
                      <a:rPr lang="es-ES" sz="825" b="1" i="0" strike="noStrike" baseline="30000">
                        <a:solidFill>
                          <a:srgbClr val="008000"/>
                        </a:solidFill>
                        <a:latin typeface="Arial"/>
                        <a:cs typeface="Arial"/>
                      </a:rPr>
                      <a:t>2</a:t>
                    </a:r>
                    <a:r>
                      <a:rPr lang="es-ES" sz="825" b="1" i="0" strike="noStrike">
                        <a:solidFill>
                          <a:srgbClr val="008000"/>
                        </a:solidFill>
                        <a:latin typeface="Arial"/>
                        <a:cs typeface="Arial"/>
                      </a:rPr>
                      <a:t> = 0.8735</a:t>
                    </a:r>
                  </a:p>
                </c:rich>
              </c:tx>
              <c:numFmt formatCode="General" sourceLinked="0"/>
              <c:spPr>
                <a:noFill/>
                <a:ln w="25400">
                  <a:noFill/>
                </a:ln>
              </c:spPr>
            </c:trendlineLbl>
          </c:trendline>
          <c:cat>
            <c:numRef>
              <c:f>'12-PIB-Optimista Base-1982'!$A$7:$A$49</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'12-PIB-Optimista Base-1982'!$B$7:$B$49</c:f>
              <c:numCache>
                <c:formatCode>_-* #,##0_-;\-* #,##0_-;_-* "-"??_-;_-@_-</c:formatCode>
                <c:ptCount val="43"/>
                <c:pt idx="0">
                  <c:v>2351.4156921131657</c:v>
                </c:pt>
                <c:pt idx="1">
                  <c:v>2577.6500691901069</c:v>
                </c:pt>
                <c:pt idx="2">
                  <c:v>2689.0848543566476</c:v>
                </c:pt>
                <c:pt idx="3">
                  <c:v>2823.437834166356</c:v>
                </c:pt>
                <c:pt idx="4">
                  <c:v>2903.6383679935257</c:v>
                </c:pt>
                <c:pt idx="5">
                  <c:v>2910.1245026717997</c:v>
                </c:pt>
                <c:pt idx="6">
                  <c:v>2949.1723957981726</c:v>
                </c:pt>
                <c:pt idx="7">
                  <c:v>2985.6550172110965</c:v>
                </c:pt>
                <c:pt idx="8">
                  <c:v>3300.2084216849612</c:v>
                </c:pt>
                <c:pt idx="9">
                  <c:v>3453.0450719817218</c:v>
                </c:pt>
                <c:pt idx="10">
                  <c:v>4141.5</c:v>
                </c:pt>
                <c:pt idx="11">
                  <c:v>4522.8</c:v>
                </c:pt>
                <c:pt idx="12">
                  <c:v>4764.7</c:v>
                </c:pt>
                <c:pt idx="13">
                  <c:v>4550.7000000000007</c:v>
                </c:pt>
                <c:pt idx="14">
                  <c:v>4674.0000000000009</c:v>
                </c:pt>
                <c:pt idx="15">
                  <c:v>4905.0000000000009</c:v>
                </c:pt>
                <c:pt idx="16">
                  <c:v>5080.0000000000009</c:v>
                </c:pt>
                <c:pt idx="17">
                  <c:v>4988.1000000000004</c:v>
                </c:pt>
                <c:pt idx="18">
                  <c:v>4320.7</c:v>
                </c:pt>
                <c:pt idx="19">
                  <c:v>4388.2000000000007</c:v>
                </c:pt>
                <c:pt idx="20">
                  <c:v>4743.6000000000013</c:v>
                </c:pt>
                <c:pt idx="21">
                  <c:v>5190.4000000000005</c:v>
                </c:pt>
                <c:pt idx="22">
                  <c:v>5616.1</c:v>
                </c:pt>
                <c:pt idx="23">
                  <c:v>5922.5</c:v>
                </c:pt>
                <c:pt idx="24">
                  <c:v>6091.3</c:v>
                </c:pt>
                <c:pt idx="25">
                  <c:v>6198</c:v>
                </c:pt>
                <c:pt idx="26">
                  <c:v>6372.2000000000007</c:v>
                </c:pt>
                <c:pt idx="27">
                  <c:v>6807.2766047027162</c:v>
                </c:pt>
                <c:pt idx="28">
                  <c:v>6947.1999999999989</c:v>
                </c:pt>
                <c:pt idx="29">
                  <c:v>7169.9000000000005</c:v>
                </c:pt>
                <c:pt idx="30">
                  <c:v>7345.6999999999989</c:v>
                </c:pt>
                <c:pt idx="31">
                  <c:v>7372.61010719755</c:v>
                </c:pt>
                <c:pt idx="32">
                  <c:v>7682.2686741081388</c:v>
                </c:pt>
                <c:pt idx="33">
                  <c:v>7881.9392110616636</c:v>
                </c:pt>
                <c:pt idx="34">
                  <c:v>8373.9903204816346</c:v>
                </c:pt>
                <c:pt idx="35">
                  <c:v>9081.422412048847</c:v>
                </c:pt>
                <c:pt idx="36">
                  <c:v>9788.3682028639505</c:v>
                </c:pt>
                <c:pt idx="37">
                  <c:v>11002.804099426618</c:v>
                </c:pt>
                <c:pt idx="38">
                  <c:v>12132.014935933918</c:v>
                </c:pt>
                <c:pt idx="39">
                  <c:v>12529.358670555303</c:v>
                </c:pt>
                <c:pt idx="40">
                  <c:v>13523.004739279306</c:v>
                </c:pt>
                <c:pt idx="41">
                  <c:v>15092.879271304215</c:v>
                </c:pt>
                <c:pt idx="42">
                  <c:v>16502.240181051773</c:v>
                </c:pt>
              </c:numCache>
            </c:numRef>
          </c:val>
        </c:ser>
        <c:marker val="1"/>
        <c:axId val="131547904"/>
        <c:axId val="131549440"/>
      </c:lineChart>
      <c:catAx>
        <c:axId val="131547904"/>
        <c:scaling>
          <c:orientation val="minMax"/>
        </c:scaling>
        <c:axPos val="b"/>
        <c:numFmt formatCode="General" sourceLinked="1"/>
        <c:tickLblPos val="nextTo"/>
        <c:spPr>
          <a:ln w="3175">
            <a:solidFill>
              <a:srgbClr val="000000"/>
            </a:solidFill>
            <a:prstDash val="solid"/>
          </a:ln>
        </c:spPr>
        <c:txPr>
          <a:bodyPr rot="-2580000" vert="horz"/>
          <a:lstStyle/>
          <a:p>
            <a:pPr>
              <a:defRPr sz="800" b="1" i="0" u="none" strike="noStrike" baseline="0">
                <a:solidFill>
                  <a:srgbClr val="008000"/>
                </a:solidFill>
                <a:latin typeface="Arial"/>
                <a:ea typeface="Arial"/>
                <a:cs typeface="Arial"/>
              </a:defRPr>
            </a:pPr>
            <a:endParaRPr lang="es-ES"/>
          </a:p>
        </c:txPr>
        <c:crossAx val="131549440"/>
        <c:crosses val="autoZero"/>
        <c:auto val="1"/>
        <c:lblAlgn val="ctr"/>
        <c:lblOffset val="100"/>
        <c:tickLblSkip val="3"/>
        <c:tickMarkSkip val="1"/>
      </c:catAx>
      <c:valAx>
        <c:axId val="131549440"/>
        <c:scaling>
          <c:orientation val="minMax"/>
          <c:max val="20000"/>
        </c:scaling>
        <c:axPos val="l"/>
        <c:majorGridlines>
          <c:spPr>
            <a:ln w="12700">
              <a:solidFill>
                <a:srgbClr val="FF9900"/>
              </a:solidFill>
              <a:prstDash val="solid"/>
            </a:ln>
          </c:spPr>
        </c:majorGridlines>
        <c:numFmt formatCode="0" sourceLinked="0"/>
        <c:majorTickMark val="in"/>
        <c:minorTickMark val="in"/>
        <c:tickLblPos val="low"/>
        <c:spPr>
          <a:ln w="3175">
            <a:solidFill>
              <a:srgbClr val="000000"/>
            </a:solidFill>
            <a:prstDash val="solid"/>
          </a:ln>
        </c:spPr>
        <c:txPr>
          <a:bodyPr rot="0" vert="horz"/>
          <a:lstStyle/>
          <a:p>
            <a:pPr>
              <a:defRPr sz="1000" b="1" i="0" u="none" strike="noStrike" baseline="0">
                <a:solidFill>
                  <a:srgbClr val="008000"/>
                </a:solidFill>
                <a:latin typeface="Arial"/>
                <a:ea typeface="Arial"/>
                <a:cs typeface="Arial"/>
              </a:defRPr>
            </a:pPr>
            <a:endParaRPr lang="es-ES"/>
          </a:p>
        </c:txPr>
        <c:crossAx val="131547904"/>
        <c:crosses val="autoZero"/>
        <c:crossBetween val="between"/>
        <c:majorUnit val="5000"/>
        <c:minorUnit val="1000"/>
      </c:valAx>
      <c:spPr>
        <a:gradFill rotWithShape="0">
          <a:gsLst>
            <a:gs pos="0">
              <a:srgbClr val="CCFFCC"/>
            </a:gs>
            <a:gs pos="100000">
              <a:srgbClr val="CCFFFF"/>
            </a:gs>
          </a:gsLst>
          <a:lin ang="5400000" scaled="1"/>
        </a:gradFill>
        <a:ln w="12700">
          <a:solidFill>
            <a:srgbClr val="008000"/>
          </a:solidFill>
          <a:prstDash val="solid"/>
        </a:ln>
      </c:spPr>
    </c:plotArea>
    <c:legend>
      <c:legendPos val="r"/>
      <c:legendEntry>
        <c:idx val="0"/>
        <c:txPr>
          <a:bodyPr/>
          <a:lstStyle/>
          <a:p>
            <a:pPr>
              <a:defRPr sz="735" b="1" i="0" u="none" strike="noStrike" baseline="0">
                <a:solidFill>
                  <a:srgbClr val="008000"/>
                </a:solidFill>
                <a:latin typeface="Arial"/>
                <a:ea typeface="Arial"/>
                <a:cs typeface="Arial"/>
              </a:defRPr>
            </a:pPr>
            <a:endParaRPr lang="es-ES"/>
          </a:p>
        </c:txPr>
      </c:legendEntry>
      <c:legendEntry>
        <c:idx val="1"/>
        <c:txPr>
          <a:bodyPr/>
          <a:lstStyle/>
          <a:p>
            <a:pPr>
              <a:defRPr sz="735" b="1" i="0" u="none" strike="noStrike" baseline="0">
                <a:solidFill>
                  <a:srgbClr val="008000"/>
                </a:solidFill>
                <a:latin typeface="Arial"/>
                <a:ea typeface="Arial"/>
                <a:cs typeface="Arial"/>
              </a:defRPr>
            </a:pPr>
            <a:endParaRPr lang="es-ES"/>
          </a:p>
        </c:txPr>
      </c:legendEntry>
      <c:layout>
        <c:manualLayout>
          <c:xMode val="edge"/>
          <c:yMode val="edge"/>
          <c:x val="0.18658892128279891"/>
          <c:y val="0.40000144676449206"/>
          <c:w val="0.38921282798834433"/>
          <c:h val="0.10370407879079424"/>
        </c:manualLayout>
      </c:layout>
      <c:spPr>
        <a:gradFill rotWithShape="0">
          <a:gsLst>
            <a:gs pos="0">
              <a:srgbClr val="CCFFCC"/>
            </a:gs>
            <a:gs pos="100000">
              <a:srgbClr val="CCFFCC"/>
            </a:gs>
          </a:gsLst>
          <a:lin ang="5400000" scaled="1"/>
        </a:gradFill>
        <a:ln w="25400">
          <a:noFill/>
        </a:ln>
      </c:spPr>
      <c:txPr>
        <a:bodyPr/>
        <a:lstStyle/>
        <a:p>
          <a:pPr>
            <a:defRPr sz="735" b="0" i="0" u="none" strike="noStrike" baseline="0">
              <a:solidFill>
                <a:srgbClr val="008000"/>
              </a:solidFill>
              <a:latin typeface="Arial"/>
              <a:ea typeface="Arial"/>
              <a:cs typeface="Arial"/>
            </a:defRPr>
          </a:pPr>
          <a:endParaRPr lang="es-ES"/>
        </a:p>
      </c:txPr>
    </c:legend>
    <c:plotVisOnly val="1"/>
    <c:dispBlanksAs val="gap"/>
  </c:chart>
  <c:spPr>
    <a:solidFill>
      <a:srgbClr val="CCFFCC"/>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000000000000744" r="0.75000000000000744" t="1" header="0" footer="0"/>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200" b="1" i="0" u="none" strike="noStrike" baseline="0">
                <a:solidFill>
                  <a:srgbClr val="000000"/>
                </a:solidFill>
                <a:latin typeface="Arial"/>
                <a:ea typeface="Arial"/>
                <a:cs typeface="Arial"/>
              </a:defRPr>
            </a:pPr>
            <a:r>
              <a:rPr lang="es-ES"/>
              <a:t>TASAS DE CRECIMIENTO DEL PIB</a:t>
            </a:r>
          </a:p>
        </c:rich>
      </c:tx>
      <c:layout>
        <c:manualLayout>
          <c:xMode val="edge"/>
          <c:yMode val="edge"/>
          <c:x val="0.24431863369775741"/>
          <c:y val="7.6655052264808357E-2"/>
        </c:manualLayout>
      </c:layout>
      <c:spPr>
        <a:noFill/>
        <a:ln w="25400">
          <a:noFill/>
        </a:ln>
      </c:spPr>
    </c:title>
    <c:plotArea>
      <c:layout>
        <c:manualLayout>
          <c:layoutTarget val="inner"/>
          <c:xMode val="edge"/>
          <c:yMode val="edge"/>
          <c:x val="0.11174263091602862"/>
          <c:y val="5.5749128919860627E-2"/>
          <c:w val="0.86363796097811862"/>
          <c:h val="0.88850174216027877"/>
        </c:manualLayout>
      </c:layout>
      <c:lineChart>
        <c:grouping val="standard"/>
        <c:ser>
          <c:idx val="0"/>
          <c:order val="0"/>
          <c:tx>
            <c:strRef>
              <c:f>'13-PIB-Pesimista Base-1982'!$B$6</c:f>
              <c:strCache>
                <c:ptCount val="1"/>
                <c:pt idx="0">
                  <c:v>PIB REAL</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Pt>
            <c:idx val="36"/>
            <c:spPr>
              <a:ln w="12700">
                <a:solidFill>
                  <a:srgbClr val="00FF00"/>
                </a:solidFill>
                <a:prstDash val="solid"/>
              </a:ln>
            </c:spPr>
          </c:dPt>
          <c:dPt>
            <c:idx val="37"/>
            <c:spPr>
              <a:ln w="12700">
                <a:solidFill>
                  <a:srgbClr val="00FF00"/>
                </a:solidFill>
                <a:prstDash val="solid"/>
              </a:ln>
            </c:spPr>
          </c:dPt>
          <c:dPt>
            <c:idx val="39"/>
            <c:spPr>
              <a:ln w="12700">
                <a:solidFill>
                  <a:srgbClr val="00FF00"/>
                </a:solidFill>
                <a:prstDash val="solid"/>
              </a:ln>
            </c:spPr>
          </c:dPt>
          <c:dPt>
            <c:idx val="41"/>
            <c:spPr>
              <a:ln w="12700">
                <a:solidFill>
                  <a:srgbClr val="00FF00"/>
                </a:solidFill>
                <a:prstDash val="solid"/>
              </a:ln>
            </c:spPr>
          </c:dPt>
          <c:dPt>
            <c:idx val="42"/>
            <c:spPr>
              <a:ln w="12700">
                <a:solidFill>
                  <a:srgbClr val="00FF00"/>
                </a:solidFill>
                <a:prstDash val="solid"/>
              </a:ln>
            </c:spPr>
          </c:dPt>
          <c:dPt>
            <c:idx val="43"/>
            <c:spPr>
              <a:ln w="12700">
                <a:solidFill>
                  <a:srgbClr val="00FF00"/>
                </a:solidFill>
                <a:prstDash val="solid"/>
              </a:ln>
            </c:spPr>
          </c:dPt>
          <c:dPt>
            <c:idx val="44"/>
            <c:spPr>
              <a:ln w="12700">
                <a:solidFill>
                  <a:srgbClr val="00FF00"/>
                </a:solidFill>
                <a:prstDash val="solid"/>
              </a:ln>
            </c:spPr>
          </c:dPt>
          <c:dPt>
            <c:idx val="45"/>
            <c:spPr>
              <a:ln w="12700">
                <a:solidFill>
                  <a:srgbClr val="00FF00"/>
                </a:solidFill>
                <a:prstDash val="solid"/>
              </a:ln>
            </c:spPr>
          </c:dPt>
          <c:dPt>
            <c:idx val="46"/>
            <c:spPr>
              <a:ln w="12700">
                <a:solidFill>
                  <a:srgbClr val="00FF00"/>
                </a:solidFill>
                <a:prstDash val="solid"/>
              </a:ln>
            </c:spPr>
          </c:dPt>
          <c:dPt>
            <c:idx val="47"/>
            <c:spPr>
              <a:ln w="12700">
                <a:solidFill>
                  <a:srgbClr val="00FF00"/>
                </a:solidFill>
                <a:prstDash val="solid"/>
              </a:ln>
            </c:spPr>
          </c:dPt>
          <c:dPt>
            <c:idx val="48"/>
            <c:spPr>
              <a:ln w="12700">
                <a:solidFill>
                  <a:srgbClr val="00FF00"/>
                </a:solidFill>
                <a:prstDash val="solid"/>
              </a:ln>
            </c:spPr>
          </c:dPt>
          <c:dPt>
            <c:idx val="49"/>
            <c:spPr>
              <a:ln w="12700">
                <a:solidFill>
                  <a:srgbClr val="00FF00"/>
                </a:solidFill>
                <a:prstDash val="solid"/>
              </a:ln>
            </c:spPr>
          </c:dPt>
          <c:dPt>
            <c:idx val="50"/>
            <c:spPr>
              <a:ln w="12700">
                <a:solidFill>
                  <a:srgbClr val="00FF00"/>
                </a:solidFill>
                <a:prstDash val="solid"/>
              </a:ln>
            </c:spPr>
          </c:dPt>
          <c:cat>
            <c:numRef>
              <c:f>'13-PIB-Pesimista Base-1982'!$A$8:$A$64</c:f>
              <c:numCache>
                <c:formatCode>General</c:formatCode>
                <c:ptCount val="5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pt idx="51">
                  <c:v>2022</c:v>
                </c:pt>
                <c:pt idx="52">
                  <c:v>2023</c:v>
                </c:pt>
                <c:pt idx="53">
                  <c:v>2024</c:v>
                </c:pt>
                <c:pt idx="54">
                  <c:v>2025</c:v>
                </c:pt>
                <c:pt idx="55">
                  <c:v>2026</c:v>
                </c:pt>
                <c:pt idx="56">
                  <c:v>2027</c:v>
                </c:pt>
              </c:numCache>
            </c:numRef>
          </c:cat>
          <c:val>
            <c:numRef>
              <c:f>'13-PIB-Pesimista Base-1982'!$C$8:$C$64</c:f>
              <c:numCache>
                <c:formatCode>0.0%</c:formatCode>
                <c:ptCount val="57"/>
                <c:pt idx="0">
                  <c:v>9.6211987457491752E-2</c:v>
                </c:pt>
                <c:pt idx="1">
                  <c:v>4.3231153250197878E-2</c:v>
                </c:pt>
                <c:pt idx="2">
                  <c:v>4.9962342985212994E-2</c:v>
                </c:pt>
                <c:pt idx="3">
                  <c:v>2.8405277019619448E-2</c:v>
                </c:pt>
                <c:pt idx="4">
                  <c:v>2.2337956233703226E-3</c:v>
                </c:pt>
                <c:pt idx="5">
                  <c:v>1.3417945895621576E-2</c:v>
                </c:pt>
                <c:pt idx="6">
                  <c:v>1.2370460765502359E-2</c:v>
                </c:pt>
                <c:pt idx="7">
                  <c:v>0.10535490626364775</c:v>
                </c:pt>
                <c:pt idx="8">
                  <c:v>4.6311211526067188E-2</c:v>
                </c:pt>
                <c:pt idx="9">
                  <c:v>0.19937617774075858</c:v>
                </c:pt>
                <c:pt idx="10">
                  <c:v>9.206809127127856E-2</c:v>
                </c:pt>
                <c:pt idx="11">
                  <c:v>5.3484567082338293E-2</c:v>
                </c:pt>
                <c:pt idx="12">
                  <c:v>-4.4913635695846346E-2</c:v>
                </c:pt>
                <c:pt idx="13">
                  <c:v>2.709473267848906E-2</c:v>
                </c:pt>
                <c:pt idx="14">
                  <c:v>4.9422336328626436E-2</c:v>
                </c:pt>
                <c:pt idx="15">
                  <c:v>3.5677879714576956E-2</c:v>
                </c:pt>
                <c:pt idx="16">
                  <c:v>-1.8090551181102466E-2</c:v>
                </c:pt>
                <c:pt idx="17">
                  <c:v>-0.13379844028788526</c:v>
                </c:pt>
                <c:pt idx="18">
                  <c:v>1.5622468581480064E-2</c:v>
                </c:pt>
                <c:pt idx="19">
                  <c:v>8.0989927532929329E-2</c:v>
                </c:pt>
                <c:pt idx="20">
                  <c:v>9.4190066616072002E-2</c:v>
                </c:pt>
                <c:pt idx="21">
                  <c:v>8.2016800246609081E-2</c:v>
                </c:pt>
                <c:pt idx="22">
                  <c:v>5.455743309413999E-2</c:v>
                </c:pt>
                <c:pt idx="23">
                  <c:v>2.8501477416631522E-2</c:v>
                </c:pt>
                <c:pt idx="24">
                  <c:v>1.7516786236107206E-2</c:v>
                </c:pt>
                <c:pt idx="25">
                  <c:v>2.8105840593740033E-2</c:v>
                </c:pt>
                <c:pt idx="26">
                  <c:v>6.8277299002340711E-2</c:v>
                </c:pt>
                <c:pt idx="27">
                  <c:v>2.0554974246326126E-2</c:v>
                </c:pt>
                <c:pt idx="28">
                  <c:v>3.2056080147397754E-2</c:v>
                </c:pt>
                <c:pt idx="29">
                  <c:v>2.4519170420786669E-2</c:v>
                </c:pt>
                <c:pt idx="30">
                  <c:v>3.6633822777340547E-3</c:v>
                </c:pt>
                <c:pt idx="31">
                  <c:v>4.2001212922989521E-2</c:v>
                </c:pt>
                <c:pt idx="32">
                  <c:v>2.5991090057352784E-2</c:v>
                </c:pt>
                <c:pt idx="33">
                  <c:v>6.242767119155361E-2</c:v>
                </c:pt>
                <c:pt idx="34">
                  <c:v>8.4479688236196102E-2</c:v>
                </c:pt>
                <c:pt idx="35">
                  <c:v>7.784527122944504E-2</c:v>
                </c:pt>
                <c:pt idx="36">
                  <c:v>0.12406929034477256</c:v>
                </c:pt>
                <c:pt idx="37">
                  <c:v>0.10262936850490194</c:v>
                </c:pt>
                <c:pt idx="38">
                  <c:v>3.2751668763981591E-2</c:v>
                </c:pt>
                <c:pt idx="39">
                  <c:v>7.9305421358806444E-2</c:v>
                </c:pt>
                <c:pt idx="40">
                  <c:v>0.11608918005219702</c:v>
                </c:pt>
                <c:pt idx="41">
                  <c:v>9.3379194546871352E-2</c:v>
                </c:pt>
                <c:pt idx="42">
                  <c:v>3.7925257105446739E-2</c:v>
                </c:pt>
                <c:pt idx="43">
                  <c:v>4.0000000000000112E-2</c:v>
                </c:pt>
                <c:pt idx="44">
                  <c:v>3.9999999999999959E-2</c:v>
                </c:pt>
                <c:pt idx="45">
                  <c:v>4.0000000000000042E-2</c:v>
                </c:pt>
                <c:pt idx="46">
                  <c:v>3.7500000000000179E-2</c:v>
                </c:pt>
                <c:pt idx="47">
                  <c:v>3.7500000000000137E-2</c:v>
                </c:pt>
                <c:pt idx="48">
                  <c:v>3.7500000000000019E-2</c:v>
                </c:pt>
                <c:pt idx="49">
                  <c:v>3.750000000000004E-2</c:v>
                </c:pt>
                <c:pt idx="50">
                  <c:v>3.7500000000000026E-2</c:v>
                </c:pt>
                <c:pt idx="51">
                  <c:v>3.4999999999999913E-2</c:v>
                </c:pt>
                <c:pt idx="52">
                  <c:v>3.499999999999992E-2</c:v>
                </c:pt>
                <c:pt idx="53">
                  <c:v>3.4999999999999878E-2</c:v>
                </c:pt>
                <c:pt idx="54">
                  <c:v>3.4999999999999899E-2</c:v>
                </c:pt>
                <c:pt idx="55">
                  <c:v>3.4999999999999934E-2</c:v>
                </c:pt>
                <c:pt idx="56">
                  <c:v>3.4999999999999913E-2</c:v>
                </c:pt>
              </c:numCache>
            </c:numRef>
          </c:val>
        </c:ser>
        <c:ser>
          <c:idx val="1"/>
          <c:order val="1"/>
          <c:tx>
            <c:strRef>
              <c:f>'13-PIB-Pesimista Base-1982'!$D$6</c:f>
              <c:strCache>
                <c:ptCount val="1"/>
                <c:pt idx="0">
                  <c:v>PIB IND</c:v>
                </c:pt>
              </c:strCache>
            </c:strRef>
          </c:tx>
          <c:spPr>
            <a:ln w="12700">
              <a:solidFill>
                <a:srgbClr val="FF00FF"/>
              </a:solidFill>
              <a:prstDash val="solid"/>
            </a:ln>
          </c:spPr>
          <c:marker>
            <c:symbol val="none"/>
          </c:marker>
          <c:cat>
            <c:numRef>
              <c:f>'13-PIB-Pesimista Base-1982'!$A$8:$A$64</c:f>
              <c:numCache>
                <c:formatCode>General</c:formatCode>
                <c:ptCount val="5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pt idx="51">
                  <c:v>2022</c:v>
                </c:pt>
                <c:pt idx="52">
                  <c:v>2023</c:v>
                </c:pt>
                <c:pt idx="53">
                  <c:v>2024</c:v>
                </c:pt>
                <c:pt idx="54">
                  <c:v>2025</c:v>
                </c:pt>
                <c:pt idx="55">
                  <c:v>2026</c:v>
                </c:pt>
                <c:pt idx="56">
                  <c:v>2027</c:v>
                </c:pt>
              </c:numCache>
            </c:numRef>
          </c:cat>
          <c:val>
            <c:numRef>
              <c:f>'13-PIB-Pesimista Base-1982'!$E$8:$E$64</c:f>
              <c:numCache>
                <c:formatCode>0.0%</c:formatCode>
                <c:ptCount val="57"/>
                <c:pt idx="0">
                  <c:v>6.3629222309505198E-2</c:v>
                </c:pt>
                <c:pt idx="1">
                  <c:v>4.5790251107828535E-2</c:v>
                </c:pt>
                <c:pt idx="2">
                  <c:v>6.28531073446328E-2</c:v>
                </c:pt>
                <c:pt idx="3">
                  <c:v>1.3289036544850611E-2</c:v>
                </c:pt>
                <c:pt idx="4">
                  <c:v>-3.6065573770491834E-2</c:v>
                </c:pt>
                <c:pt idx="5">
                  <c:v>2.5170068027210831E-2</c:v>
                </c:pt>
                <c:pt idx="6">
                  <c:v>1.194426011944253E-2</c:v>
                </c:pt>
                <c:pt idx="7">
                  <c:v>1.5737704918032797E-2</c:v>
                </c:pt>
                <c:pt idx="8">
                  <c:v>0.11039380245319565</c:v>
                </c:pt>
                <c:pt idx="9">
                  <c:v>4.0697674418604793E-2</c:v>
                </c:pt>
                <c:pt idx="10">
                  <c:v>-2.5413849382140308E-2</c:v>
                </c:pt>
                <c:pt idx="11">
                  <c:v>3.5885167464114832E-2</c:v>
                </c:pt>
                <c:pt idx="12">
                  <c:v>-2.1478060046189403E-2</c:v>
                </c:pt>
                <c:pt idx="13">
                  <c:v>6.8444654236488087E-2</c:v>
                </c:pt>
                <c:pt idx="14">
                  <c:v>5.6107797658493559E-2</c:v>
                </c:pt>
                <c:pt idx="15">
                  <c:v>6.9023216900229124E-3</c:v>
                </c:pt>
                <c:pt idx="16">
                  <c:v>6.8757789779808939E-2</c:v>
                </c:pt>
                <c:pt idx="17">
                  <c:v>-0.22468415937803699</c:v>
                </c:pt>
                <c:pt idx="18">
                  <c:v>1.3035848583605028E-2</c:v>
                </c:pt>
                <c:pt idx="19">
                  <c:v>0.13783716901756987</c:v>
                </c:pt>
                <c:pt idx="20">
                  <c:v>0.10461070030448014</c:v>
                </c:pt>
                <c:pt idx="21">
                  <c:v>9.1553455404607215E-2</c:v>
                </c:pt>
                <c:pt idx="22">
                  <c:v>6.3311688311688361E-2</c:v>
                </c:pt>
                <c:pt idx="23">
                  <c:v>4.2578456318914375E-2</c:v>
                </c:pt>
                <c:pt idx="24">
                  <c:v>1.9524894240155089E-3</c:v>
                </c:pt>
                <c:pt idx="25">
                  <c:v>-1.2504059759662118E-2</c:v>
                </c:pt>
                <c:pt idx="26">
                  <c:v>3.2558560188116224E-2</c:v>
                </c:pt>
                <c:pt idx="27">
                  <c:v>7.0395317357163117E-2</c:v>
                </c:pt>
                <c:pt idx="28">
                  <c:v>-7.4542478797797976E-2</c:v>
                </c:pt>
                <c:pt idx="29">
                  <c:v>-5.2733118971061019E-2</c:v>
                </c:pt>
                <c:pt idx="30">
                  <c:v>-5.7026476578411436E-2</c:v>
                </c:pt>
                <c:pt idx="31">
                  <c:v>-2.6210659651174181E-2</c:v>
                </c:pt>
                <c:pt idx="32">
                  <c:v>-3.4020412247348489E-2</c:v>
                </c:pt>
                <c:pt idx="33">
                  <c:v>2.0820385332504538E-2</c:v>
                </c:pt>
                <c:pt idx="34">
                  <c:v>4.200913242009148E-2</c:v>
                </c:pt>
                <c:pt idx="35">
                  <c:v>3.8757425260492653E-2</c:v>
                </c:pt>
                <c:pt idx="36">
                  <c:v>5.6248242242429941E-2</c:v>
                </c:pt>
                <c:pt idx="37" formatCode="0.00%">
                  <c:v>3.9230851158249973E-2</c:v>
                </c:pt>
                <c:pt idx="38" formatCode="0.00%">
                  <c:v>-5.9794957969988701E-3</c:v>
                </c:pt>
                <c:pt idx="39" formatCode="0.00%">
                  <c:v>1.0997508377008186E-2</c:v>
                </c:pt>
                <c:pt idx="40" formatCode="0.00%">
                  <c:v>3.2293702727967923E-2</c:v>
                </c:pt>
                <c:pt idx="41" formatCode="0.00%">
                  <c:v>3.3694027049069486E-2</c:v>
                </c:pt>
                <c:pt idx="42" formatCode="0.00%">
                  <c:v>-5.9783072849944746E-3</c:v>
                </c:pt>
                <c:pt idx="43" formatCode="0.00%">
                  <c:v>3.7875668999588198E-2</c:v>
                </c:pt>
                <c:pt idx="44" formatCode="0.00%">
                  <c:v>6.7433558111860567E-2</c:v>
                </c:pt>
                <c:pt idx="45" formatCode="0.00%">
                  <c:v>2.2668153102935556E-2</c:v>
                </c:pt>
                <c:pt idx="46" formatCode="0.00%">
                  <c:v>3.1613372093023194E-2</c:v>
                </c:pt>
                <c:pt idx="47" formatCode="0.00%">
                  <c:v>3.5575907009510556E-2</c:v>
                </c:pt>
                <c:pt idx="48" formatCode="0.00%">
                  <c:v>3.2653061224489986E-2</c:v>
                </c:pt>
                <c:pt idx="49" formatCode="0.00%">
                  <c:v>3.6231884057970995E-2</c:v>
                </c:pt>
                <c:pt idx="50" formatCode="0.00%">
                  <c:v>3.1150667514303596E-2</c:v>
                </c:pt>
                <c:pt idx="51" formatCode="0.00%">
                  <c:v>2.9284833538840892E-2</c:v>
                </c:pt>
                <c:pt idx="52" formatCode="0.00%">
                  <c:v>2.5456723569931252E-2</c:v>
                </c:pt>
                <c:pt idx="53" formatCode="0.00%">
                  <c:v>4.4976635514018821E-2</c:v>
                </c:pt>
                <c:pt idx="54" formatCode="0.00%">
                  <c:v>2.7669088876467254E-2</c:v>
                </c:pt>
                <c:pt idx="55" formatCode="0.00%">
                  <c:v>3.1684681858538705E-2</c:v>
                </c:pt>
                <c:pt idx="56" formatCode="0.00%">
                  <c:v>3.1684681858538802E-2</c:v>
                </c:pt>
              </c:numCache>
            </c:numRef>
          </c:val>
        </c:ser>
        <c:marker val="1"/>
        <c:axId val="131814528"/>
        <c:axId val="131816064"/>
      </c:lineChart>
      <c:catAx>
        <c:axId val="131814528"/>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s-ES"/>
          </a:p>
        </c:txPr>
        <c:crossAx val="131816064"/>
        <c:crosses val="autoZero"/>
        <c:auto val="1"/>
        <c:lblAlgn val="ctr"/>
        <c:lblOffset val="100"/>
        <c:tickLblSkip val="3"/>
        <c:tickMarkSkip val="5"/>
      </c:catAx>
      <c:valAx>
        <c:axId val="131816064"/>
        <c:scaling>
          <c:orientation val="minMax"/>
        </c:scaling>
        <c:axPos val="l"/>
        <c:majorGridlines>
          <c:spPr>
            <a:ln w="3175">
              <a:solidFill>
                <a:srgbClr val="000000"/>
              </a:solidFill>
              <a:prstDash val="solid"/>
            </a:ln>
          </c:spPr>
        </c:majorGridlines>
        <c:numFmt formatCode="0.0%" sourceLinked="1"/>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s-ES"/>
          </a:p>
        </c:txPr>
        <c:crossAx val="131814528"/>
        <c:crosses val="autoZero"/>
        <c:crossBetween val="between"/>
      </c:valAx>
      <c:spPr>
        <a:solidFill>
          <a:srgbClr val="C0C0C0"/>
        </a:solidFill>
        <a:ln w="12700">
          <a:solidFill>
            <a:srgbClr val="808080"/>
          </a:solidFill>
          <a:prstDash val="solid"/>
        </a:ln>
      </c:spPr>
    </c:plotArea>
    <c:legend>
      <c:legendPos val="r"/>
      <c:layout>
        <c:manualLayout>
          <c:xMode val="edge"/>
          <c:yMode val="edge"/>
          <c:x val="0.57575864065208815"/>
          <c:y val="0.66202090592334495"/>
          <c:w val="0.25947017687281854"/>
          <c:h val="0.11149825783972105"/>
        </c:manualLayout>
      </c:layout>
      <c:spPr>
        <a:no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000000000000766" r="0.75000000000000766" t="1" header="0" footer="0"/>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0.12765969503643224"/>
          <c:y val="0.25615763546798026"/>
          <c:w val="0.86267006039771565"/>
          <c:h val="0.48768472906404836"/>
        </c:manualLayout>
      </c:layout>
      <c:lineChart>
        <c:grouping val="standard"/>
        <c:ser>
          <c:idx val="0"/>
          <c:order val="0"/>
          <c:tx>
            <c:strRef>
              <c:f>'13-PIB-Pesimista Base-1982'!$B$6</c:f>
              <c:strCache>
                <c:ptCount val="1"/>
                <c:pt idx="0">
                  <c:v>PIB REAL</c:v>
                </c:pt>
              </c:strCache>
            </c:strRef>
          </c:tx>
          <c:spPr>
            <a:ln w="38100">
              <a:solidFill>
                <a:schemeClr val="tx2"/>
              </a:solidFill>
              <a:prstDash val="solid"/>
            </a:ln>
          </c:spPr>
          <c:marker>
            <c:symbol val="none"/>
          </c:marker>
          <c:trendline>
            <c:spPr>
              <a:ln w="12700">
                <a:solidFill>
                  <a:srgbClr val="FF0000"/>
                </a:solidFill>
                <a:prstDash val="solid"/>
              </a:ln>
            </c:spPr>
            <c:trendlineType val="linear"/>
            <c:dispRSqr val="1"/>
            <c:dispEq val="1"/>
            <c:trendlineLbl>
              <c:layout>
                <c:manualLayout>
                  <c:x val="1.7289385547634522E-2"/>
                  <c:y val="-0.27225604177245105"/>
                </c:manualLayout>
              </c:layout>
              <c:tx>
                <c:rich>
                  <a:bodyPr/>
                  <a:lstStyle/>
                  <a:p>
                    <a:pPr>
                      <a:defRPr sz="1200" b="0" i="0" u="none" strike="noStrike" baseline="0">
                        <a:solidFill>
                          <a:srgbClr val="000000"/>
                        </a:solidFill>
                        <a:latin typeface="Arial"/>
                        <a:ea typeface="Arial"/>
                        <a:cs typeface="Arial"/>
                      </a:defRPr>
                    </a:pPr>
                    <a:r>
                      <a:rPr lang="es-ES" sz="1200" b="0" i="0" strike="noStrike">
                        <a:solidFill>
                          <a:srgbClr val="000000"/>
                        </a:solidFill>
                        <a:latin typeface="Arial"/>
                        <a:cs typeface="Arial"/>
                      </a:rPr>
                      <a:t>R</a:t>
                    </a:r>
                    <a:r>
                      <a:rPr lang="es-ES" sz="1200" b="0" i="0" strike="noStrike" baseline="30000">
                        <a:solidFill>
                          <a:srgbClr val="000000"/>
                        </a:solidFill>
                        <a:latin typeface="Arial"/>
                        <a:cs typeface="Arial"/>
                      </a:rPr>
                      <a:t>2</a:t>
                    </a:r>
                    <a:r>
                      <a:rPr lang="es-ES" sz="1200" b="0" i="0" strike="noStrike">
                        <a:solidFill>
                          <a:srgbClr val="000000"/>
                        </a:solidFill>
                        <a:latin typeface="Arial"/>
                        <a:cs typeface="Arial"/>
                      </a:rPr>
                      <a:t> = 0.9943</a:t>
                    </a:r>
                  </a:p>
                </c:rich>
              </c:tx>
              <c:numFmt formatCode="General" sourceLinked="0"/>
              <c:spPr>
                <a:noFill/>
                <a:ln w="25400">
                  <a:noFill/>
                </a:ln>
              </c:spPr>
            </c:trendlineLbl>
          </c:trendline>
          <c:cat>
            <c:numRef>
              <c:f>'13-PIB-Pesimista Base-1982'!$A$40:$A$64</c:f>
              <c:numCache>
                <c:formatCode>General</c:formatCode>
                <c:ptCount val="2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numCache>
            </c:numRef>
          </c:cat>
          <c:val>
            <c:numRef>
              <c:f>'13-PIB-Pesimista Base-1982'!$B$40:$B$64</c:f>
              <c:numCache>
                <c:formatCode>_-* #,##0_-;\-* #,##0_-;_-* "-"??_-;_-@_-</c:formatCode>
                <c:ptCount val="25"/>
                <c:pt idx="0">
                  <c:v>7881.9392110616636</c:v>
                </c:pt>
                <c:pt idx="1">
                  <c:v>8373.9903204816346</c:v>
                </c:pt>
                <c:pt idx="2">
                  <c:v>9081.422412048847</c:v>
                </c:pt>
                <c:pt idx="3">
                  <c:v>9788.3682028639505</c:v>
                </c:pt>
                <c:pt idx="4">
                  <c:v>11002.804099426618</c:v>
                </c:pt>
                <c:pt idx="5">
                  <c:v>12132.014935933918</c:v>
                </c:pt>
                <c:pt idx="6">
                  <c:v>12529.358670555303</c:v>
                </c:pt>
                <c:pt idx="7">
                  <c:v>13523.004739279306</c:v>
                </c:pt>
                <c:pt idx="8">
                  <c:v>15092.879271304215</c:v>
                </c:pt>
                <c:pt idx="9">
                  <c:v>16502.240181051773</c:v>
                </c:pt>
                <c:pt idx="10">
                  <c:v>17128.091882733996</c:v>
                </c:pt>
                <c:pt idx="11">
                  <c:v>17813.215558043357</c:v>
                </c:pt>
                <c:pt idx="12">
                  <c:v>18525.744180365091</c:v>
                </c:pt>
                <c:pt idx="13">
                  <c:v>19266.773947579695</c:v>
                </c:pt>
                <c:pt idx="14">
                  <c:v>19989.277970613937</c:v>
                </c:pt>
                <c:pt idx="15">
                  <c:v>20738.875894511963</c:v>
                </c:pt>
                <c:pt idx="16">
                  <c:v>21516.583740556162</c:v>
                </c:pt>
                <c:pt idx="17">
                  <c:v>22323.455630827018</c:v>
                </c:pt>
                <c:pt idx="18">
                  <c:v>23160.585216983032</c:v>
                </c:pt>
                <c:pt idx="19">
                  <c:v>23971.205699577436</c:v>
                </c:pt>
                <c:pt idx="20">
                  <c:v>24810.197899062645</c:v>
                </c:pt>
                <c:pt idx="21">
                  <c:v>25678.554825529834</c:v>
                </c:pt>
                <c:pt idx="22">
                  <c:v>26577.304244423376</c:v>
                </c:pt>
                <c:pt idx="23">
                  <c:v>27507.509892978193</c:v>
                </c:pt>
                <c:pt idx="24">
                  <c:v>28470.272739232427</c:v>
                </c:pt>
              </c:numCache>
            </c:numRef>
          </c:val>
        </c:ser>
        <c:marker val="1"/>
        <c:axId val="131865600"/>
        <c:axId val="131879680"/>
      </c:lineChart>
      <c:catAx>
        <c:axId val="131865600"/>
        <c:scaling>
          <c:orientation val="minMax"/>
        </c:scaling>
        <c:axPos val="b"/>
        <c:numFmt formatCode="General" sourceLinked="1"/>
        <c:tickLblPos val="nextTo"/>
        <c:spPr>
          <a:ln w="3175">
            <a:solidFill>
              <a:srgbClr val="000000"/>
            </a:solidFill>
            <a:prstDash val="solid"/>
          </a:ln>
        </c:spPr>
        <c:txPr>
          <a:bodyPr rot="-2700000" vert="horz"/>
          <a:lstStyle/>
          <a:p>
            <a:pPr>
              <a:defRPr sz="800" b="0" i="1" u="none" strike="noStrike" baseline="0">
                <a:solidFill>
                  <a:srgbClr val="0000FF"/>
                </a:solidFill>
                <a:latin typeface="Arial"/>
                <a:ea typeface="Arial"/>
                <a:cs typeface="Arial"/>
              </a:defRPr>
            </a:pPr>
            <a:endParaRPr lang="es-ES"/>
          </a:p>
        </c:txPr>
        <c:crossAx val="131879680"/>
        <c:crosses val="autoZero"/>
        <c:auto val="1"/>
        <c:lblAlgn val="ctr"/>
        <c:lblOffset val="100"/>
        <c:tickLblSkip val="2"/>
        <c:tickMarkSkip val="1"/>
      </c:catAx>
      <c:valAx>
        <c:axId val="131879680"/>
        <c:scaling>
          <c:orientation val="minMax"/>
          <c:min val="5000"/>
        </c:scaling>
        <c:axPos val="l"/>
        <c:majorGridlines>
          <c:spPr>
            <a:ln w="12700">
              <a:solidFill>
                <a:srgbClr val="FF0000"/>
              </a:solidFill>
              <a:prstDash val="solid"/>
            </a:ln>
          </c:spPr>
        </c:majorGridlines>
        <c:numFmt formatCode="_-* #,##0_-;\-* #,##0_-;_-* &quot;-&quot;??_-;_-@_-" sourceLinked="1"/>
        <c:tickLblPos val="nextTo"/>
        <c:spPr>
          <a:ln w="9525">
            <a:noFill/>
          </a:ln>
        </c:spPr>
        <c:txPr>
          <a:bodyPr rot="0" vert="horz"/>
          <a:lstStyle/>
          <a:p>
            <a:pPr>
              <a:defRPr sz="975" b="0" i="1" u="none" strike="noStrike" baseline="0">
                <a:solidFill>
                  <a:srgbClr val="0000FF"/>
                </a:solidFill>
                <a:latin typeface="Arial"/>
                <a:ea typeface="Arial"/>
                <a:cs typeface="Arial"/>
              </a:defRPr>
            </a:pPr>
            <a:endParaRPr lang="es-ES"/>
          </a:p>
        </c:txPr>
        <c:crossAx val="131865600"/>
        <c:crosses val="autoZero"/>
        <c:crossBetween val="between"/>
        <c:majorUnit val="10000"/>
      </c:valAx>
      <c:spPr>
        <a:gradFill>
          <a:gsLst>
            <a:gs pos="0">
              <a:srgbClr val="5E9EFF"/>
            </a:gs>
            <a:gs pos="39999">
              <a:srgbClr val="85C2FF"/>
            </a:gs>
            <a:gs pos="70000">
              <a:srgbClr val="C4D6EB"/>
            </a:gs>
            <a:gs pos="100000">
              <a:srgbClr val="FFEBFA"/>
            </a:gs>
          </a:gsLst>
          <a:lin ang="5400000" scaled="0"/>
        </a:gradFill>
        <a:ln w="25400">
          <a:noFill/>
        </a:ln>
      </c:spPr>
    </c:plotArea>
    <c:legend>
      <c:legendPos val="r"/>
      <c:layout>
        <c:manualLayout>
          <c:xMode val="edge"/>
          <c:yMode val="edge"/>
          <c:x val="0.58027099610614441"/>
          <c:y val="0.59605911330049532"/>
          <c:w val="0.38104484730572002"/>
          <c:h val="0.11822660098522449"/>
        </c:manualLayout>
      </c:layout>
      <c:spPr>
        <a:noFill/>
        <a:ln w="3175">
          <a:solidFill>
            <a:srgbClr val="000000"/>
          </a:solidFill>
          <a:prstDash val="solid"/>
        </a:ln>
      </c:spPr>
      <c:txPr>
        <a:bodyPr/>
        <a:lstStyle/>
        <a:p>
          <a:pPr>
            <a:defRPr sz="895" b="0" i="0" u="none" strike="noStrike" baseline="0">
              <a:solidFill>
                <a:srgbClr val="000000"/>
              </a:solidFill>
              <a:latin typeface="Arial"/>
              <a:ea typeface="Arial"/>
              <a:cs typeface="Arial"/>
            </a:defRPr>
          </a:pPr>
          <a:endParaRPr lang="es-ES"/>
        </a:p>
      </c:txPr>
    </c:legend>
    <c:plotVisOnly val="1"/>
    <c:dispBlanksAs val="gap"/>
  </c:chart>
  <c:spPr>
    <a:solidFill>
      <a:srgbClr val="CCFFCC"/>
    </a:solidFill>
    <a:ln w="9525">
      <a:noFill/>
    </a:ln>
  </c:spPr>
  <c:txPr>
    <a:bodyPr/>
    <a:lstStyle/>
    <a:p>
      <a:pPr>
        <a:defRPr sz="975" b="0" i="0" u="none" strike="noStrike" baseline="0">
          <a:solidFill>
            <a:srgbClr val="000000"/>
          </a:solidFill>
          <a:latin typeface="Arial"/>
          <a:ea typeface="Arial"/>
          <a:cs typeface="Arial"/>
        </a:defRPr>
      </a:pPr>
      <a:endParaRPr lang="es-ES"/>
    </a:p>
  </c:txPr>
  <c:printSettings>
    <c:headerFooter alignWithMargins="0"/>
    <c:pageMargins b="1" l="0.75000000000000766" r="0.75000000000000766"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125" b="1" i="0" u="none" strike="noStrike" baseline="0">
                <a:solidFill>
                  <a:srgbClr val="000000"/>
                </a:solidFill>
                <a:latin typeface="Arial"/>
                <a:ea typeface="Arial"/>
                <a:cs typeface="Arial"/>
              </a:defRPr>
            </a:pPr>
            <a:r>
              <a:rPr lang="es-ES" sz="1125" b="1" i="0" strike="noStrike">
                <a:solidFill>
                  <a:srgbClr val="000000"/>
                </a:solidFill>
                <a:latin typeface="Arial"/>
                <a:cs typeface="Arial"/>
              </a:rPr>
              <a:t>PIB (Millones de Balboas a precios de 1982)</a:t>
            </a:r>
          </a:p>
          <a:p>
            <a:pPr>
              <a:defRPr sz="1125" b="1" i="0" u="none" strike="noStrike" baseline="0">
                <a:solidFill>
                  <a:srgbClr val="000000"/>
                </a:solidFill>
                <a:latin typeface="Arial"/>
                <a:ea typeface="Arial"/>
                <a:cs typeface="Arial"/>
              </a:defRPr>
            </a:pPr>
            <a:r>
              <a:rPr lang="es-ES" sz="925" b="1" i="0" strike="noStrike">
                <a:solidFill>
                  <a:srgbClr val="000000"/>
                </a:solidFill>
                <a:latin typeface="Arial"/>
                <a:cs typeface="Arial"/>
              </a:rPr>
              <a:t>DATOS HISTÓRICOS</a:t>
            </a:r>
          </a:p>
        </c:rich>
      </c:tx>
      <c:layout>
        <c:manualLayout>
          <c:xMode val="edge"/>
          <c:yMode val="edge"/>
          <c:x val="4.3052878712159355E-2"/>
          <c:y val="4.1096073666139002E-2"/>
        </c:manualLayout>
      </c:layout>
      <c:spPr>
        <a:noFill/>
        <a:ln w="25400">
          <a:noFill/>
        </a:ln>
      </c:spPr>
    </c:title>
    <c:plotArea>
      <c:layout>
        <c:manualLayout>
          <c:layoutTarget val="inner"/>
          <c:xMode val="edge"/>
          <c:yMode val="edge"/>
          <c:x val="0.13502948323359074"/>
          <c:y val="0.27854005484827526"/>
          <c:w val="0.83953113488710751"/>
          <c:h val="0.51598403603041265"/>
        </c:manualLayout>
      </c:layout>
      <c:lineChart>
        <c:grouping val="standard"/>
        <c:ser>
          <c:idx val="1"/>
          <c:order val="0"/>
          <c:tx>
            <c:strRef>
              <c:f>'13-PIB-Pesimista Base-1982'!$B$6</c:f>
              <c:strCache>
                <c:ptCount val="1"/>
                <c:pt idx="0">
                  <c:v>PIB REAL</c:v>
                </c:pt>
              </c:strCache>
            </c:strRef>
          </c:tx>
          <c:spPr>
            <a:ln w="38100">
              <a:solidFill>
                <a:srgbClr val="0000FF"/>
              </a:solidFill>
              <a:prstDash val="solid"/>
            </a:ln>
          </c:spPr>
          <c:marker>
            <c:symbol val="none"/>
          </c:marker>
          <c:trendline>
            <c:spPr>
              <a:ln w="25400">
                <a:solidFill>
                  <a:srgbClr val="FF0000"/>
                </a:solidFill>
                <a:prstDash val="solid"/>
              </a:ln>
            </c:spPr>
            <c:trendlineType val="poly"/>
            <c:order val="2"/>
            <c:dispRSqr val="1"/>
            <c:trendlineLbl>
              <c:layout>
                <c:manualLayout>
                  <c:x val="-3.5543241563896818E-3"/>
                  <c:y val="-0.29341797699347766"/>
                </c:manualLayout>
              </c:layout>
              <c:numFmt formatCode="General" sourceLinked="0"/>
              <c:spPr>
                <a:noFill/>
                <a:ln w="25400">
                  <a:noFill/>
                </a:ln>
              </c:spPr>
              <c:txPr>
                <a:bodyPr/>
                <a:lstStyle/>
                <a:p>
                  <a:pPr>
                    <a:defRPr sz="1200" b="0" i="0" u="none" strike="noStrike" baseline="0">
                      <a:solidFill>
                        <a:srgbClr val="000000"/>
                      </a:solidFill>
                      <a:latin typeface="Arial"/>
                      <a:ea typeface="Arial"/>
                      <a:cs typeface="Arial"/>
                    </a:defRPr>
                  </a:pPr>
                  <a:endParaRPr lang="es-ES"/>
                </a:p>
              </c:txPr>
            </c:trendlineLbl>
          </c:trendline>
          <c:cat>
            <c:numRef>
              <c:f>'13-PIB-Pesimista Base-1982'!$A$7:$A$49</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'13-PIB-Pesimista Base-1982'!$B$7:$B$49</c:f>
              <c:numCache>
                <c:formatCode>_-* #,##0_-;\-* #,##0_-;_-* "-"??_-;_-@_-</c:formatCode>
                <c:ptCount val="43"/>
                <c:pt idx="0">
                  <c:v>2351.4156921131657</c:v>
                </c:pt>
                <c:pt idx="1">
                  <c:v>2577.6500691901069</c:v>
                </c:pt>
                <c:pt idx="2">
                  <c:v>2689.0848543566476</c:v>
                </c:pt>
                <c:pt idx="3">
                  <c:v>2823.437834166356</c:v>
                </c:pt>
                <c:pt idx="4">
                  <c:v>2903.6383679935257</c:v>
                </c:pt>
                <c:pt idx="5">
                  <c:v>2910.1245026717997</c:v>
                </c:pt>
                <c:pt idx="6">
                  <c:v>2949.1723957981726</c:v>
                </c:pt>
                <c:pt idx="7">
                  <c:v>2985.6550172110965</c:v>
                </c:pt>
                <c:pt idx="8">
                  <c:v>3300.2084216849612</c:v>
                </c:pt>
                <c:pt idx="9">
                  <c:v>3453.0450719817218</c:v>
                </c:pt>
                <c:pt idx="10">
                  <c:v>4141.5</c:v>
                </c:pt>
                <c:pt idx="11">
                  <c:v>4522.8</c:v>
                </c:pt>
                <c:pt idx="12">
                  <c:v>4764.7</c:v>
                </c:pt>
                <c:pt idx="13">
                  <c:v>4550.7000000000007</c:v>
                </c:pt>
                <c:pt idx="14">
                  <c:v>4674.0000000000009</c:v>
                </c:pt>
                <c:pt idx="15">
                  <c:v>4905.0000000000009</c:v>
                </c:pt>
                <c:pt idx="16">
                  <c:v>5080.0000000000009</c:v>
                </c:pt>
                <c:pt idx="17">
                  <c:v>4988.1000000000004</c:v>
                </c:pt>
                <c:pt idx="18">
                  <c:v>4320.7</c:v>
                </c:pt>
                <c:pt idx="19">
                  <c:v>4388.2000000000007</c:v>
                </c:pt>
                <c:pt idx="20">
                  <c:v>4743.6000000000013</c:v>
                </c:pt>
                <c:pt idx="21">
                  <c:v>5190.4000000000005</c:v>
                </c:pt>
                <c:pt idx="22">
                  <c:v>5616.1</c:v>
                </c:pt>
                <c:pt idx="23">
                  <c:v>5922.5</c:v>
                </c:pt>
                <c:pt idx="24">
                  <c:v>6091.3</c:v>
                </c:pt>
                <c:pt idx="25">
                  <c:v>6198</c:v>
                </c:pt>
                <c:pt idx="26">
                  <c:v>6372.2000000000007</c:v>
                </c:pt>
                <c:pt idx="27">
                  <c:v>6807.2766047027162</c:v>
                </c:pt>
                <c:pt idx="28">
                  <c:v>6947.1999999999989</c:v>
                </c:pt>
                <c:pt idx="29">
                  <c:v>7169.9000000000005</c:v>
                </c:pt>
                <c:pt idx="30">
                  <c:v>7345.6999999999989</c:v>
                </c:pt>
                <c:pt idx="31">
                  <c:v>7372.61010719755</c:v>
                </c:pt>
                <c:pt idx="32">
                  <c:v>7682.2686741081388</c:v>
                </c:pt>
                <c:pt idx="33">
                  <c:v>7881.9392110616636</c:v>
                </c:pt>
                <c:pt idx="34">
                  <c:v>8373.9903204816346</c:v>
                </c:pt>
                <c:pt idx="35">
                  <c:v>9081.422412048847</c:v>
                </c:pt>
                <c:pt idx="36">
                  <c:v>9788.3682028639505</c:v>
                </c:pt>
                <c:pt idx="37">
                  <c:v>11002.804099426618</c:v>
                </c:pt>
                <c:pt idx="38">
                  <c:v>12132.014935933918</c:v>
                </c:pt>
                <c:pt idx="39">
                  <c:v>12529.358670555303</c:v>
                </c:pt>
                <c:pt idx="40">
                  <c:v>13523.004739279306</c:v>
                </c:pt>
                <c:pt idx="41">
                  <c:v>15092.879271304215</c:v>
                </c:pt>
                <c:pt idx="42">
                  <c:v>16502.240181051773</c:v>
                </c:pt>
              </c:numCache>
            </c:numRef>
          </c:val>
        </c:ser>
        <c:marker val="1"/>
        <c:axId val="131900928"/>
        <c:axId val="131902464"/>
      </c:lineChart>
      <c:catAx>
        <c:axId val="131900928"/>
        <c:scaling>
          <c:orientation val="minMax"/>
        </c:scaling>
        <c:axPos val="b"/>
        <c:numFmt formatCode="General" sourceLinked="1"/>
        <c:tickLblPos val="nextTo"/>
        <c:spPr>
          <a:ln w="3175">
            <a:solidFill>
              <a:srgbClr val="000000"/>
            </a:solidFill>
            <a:prstDash val="solid"/>
          </a:ln>
        </c:spPr>
        <c:txPr>
          <a:bodyPr rot="-2700000" vert="horz"/>
          <a:lstStyle/>
          <a:p>
            <a:pPr>
              <a:defRPr sz="800" b="0" i="1" u="none" strike="noStrike" baseline="0">
                <a:solidFill>
                  <a:srgbClr val="0000FF"/>
                </a:solidFill>
                <a:latin typeface="Arial"/>
                <a:ea typeface="Arial"/>
                <a:cs typeface="Arial"/>
              </a:defRPr>
            </a:pPr>
            <a:endParaRPr lang="es-ES"/>
          </a:p>
        </c:txPr>
        <c:crossAx val="131902464"/>
        <c:crosses val="autoZero"/>
        <c:auto val="1"/>
        <c:lblAlgn val="ctr"/>
        <c:lblOffset val="100"/>
        <c:tickLblSkip val="2"/>
        <c:tickMarkSkip val="1"/>
      </c:catAx>
      <c:valAx>
        <c:axId val="131902464"/>
        <c:scaling>
          <c:orientation val="minMax"/>
          <c:max val="20000"/>
        </c:scaling>
        <c:axPos val="l"/>
        <c:majorGridlines>
          <c:spPr>
            <a:ln w="12700">
              <a:solidFill>
                <a:srgbClr val="FF0000"/>
              </a:solidFill>
              <a:prstDash val="solid"/>
            </a:ln>
          </c:spPr>
        </c:majorGridlines>
        <c:numFmt formatCode="_-* #,##0_-;\-* #,##0_-;_-* &quot;-&quot;??_-;_-@_-" sourceLinked="1"/>
        <c:tickLblPos val="nextTo"/>
        <c:spPr>
          <a:ln w="9525">
            <a:noFill/>
          </a:ln>
        </c:spPr>
        <c:txPr>
          <a:bodyPr rot="0" vert="horz"/>
          <a:lstStyle/>
          <a:p>
            <a:pPr>
              <a:defRPr sz="800" b="0" i="1" u="none" strike="noStrike" baseline="0">
                <a:solidFill>
                  <a:srgbClr val="0000FF"/>
                </a:solidFill>
                <a:latin typeface="Arial"/>
                <a:ea typeface="Arial"/>
                <a:cs typeface="Arial"/>
              </a:defRPr>
            </a:pPr>
            <a:endParaRPr lang="es-ES"/>
          </a:p>
        </c:txPr>
        <c:crossAx val="131900928"/>
        <c:crosses val="autoZero"/>
        <c:crossBetween val="between"/>
        <c:majorUnit val="4000"/>
      </c:valAx>
      <c:spPr>
        <a:gradFill>
          <a:gsLst>
            <a:gs pos="0">
              <a:srgbClr val="5E9EFF"/>
            </a:gs>
            <a:gs pos="39999">
              <a:srgbClr val="85C2FF"/>
            </a:gs>
            <a:gs pos="70000">
              <a:srgbClr val="C4D6EB"/>
            </a:gs>
            <a:gs pos="100000">
              <a:srgbClr val="FFEBFA"/>
            </a:gs>
          </a:gsLst>
          <a:lin ang="5400000" scaled="0"/>
        </a:gradFill>
        <a:ln w="25400">
          <a:noFill/>
        </a:ln>
      </c:spPr>
    </c:plotArea>
    <c:legend>
      <c:legendPos val="r"/>
      <c:layout>
        <c:manualLayout>
          <c:xMode val="edge"/>
          <c:yMode val="edge"/>
          <c:x val="0.51859120349682364"/>
          <c:y val="0.66971176548136968"/>
          <c:w val="0.44422743034818979"/>
          <c:h val="0.10958952977637069"/>
        </c:manualLayout>
      </c:layout>
      <c:spPr>
        <a:noFill/>
        <a:ln w="3175">
          <a:solidFill>
            <a:srgbClr val="000000"/>
          </a:solidFill>
          <a:prstDash val="solid"/>
        </a:ln>
      </c:spPr>
      <c:txPr>
        <a:bodyPr/>
        <a:lstStyle/>
        <a:p>
          <a:pPr>
            <a:defRPr sz="895" b="0" i="0" u="none" strike="noStrike" baseline="0">
              <a:solidFill>
                <a:srgbClr val="000000"/>
              </a:solidFill>
              <a:latin typeface="Arial"/>
              <a:ea typeface="Arial"/>
              <a:cs typeface="Arial"/>
            </a:defRPr>
          </a:pPr>
          <a:endParaRPr lang="es-ES"/>
        </a:p>
      </c:txPr>
    </c:legend>
    <c:plotVisOnly val="1"/>
    <c:dispBlanksAs val="gap"/>
  </c:chart>
  <c:spPr>
    <a:solidFill>
      <a:srgbClr val="CCFFCC"/>
    </a:solidFill>
    <a:ln w="9525">
      <a:noFill/>
    </a:ln>
  </c:spPr>
  <c:txPr>
    <a:bodyPr/>
    <a:lstStyle/>
    <a:p>
      <a:pPr>
        <a:defRPr sz="975" b="0" i="0" u="none" strike="noStrike" baseline="0">
          <a:solidFill>
            <a:srgbClr val="000000"/>
          </a:solidFill>
          <a:latin typeface="Arial"/>
          <a:ea typeface="Arial"/>
          <a:cs typeface="Arial"/>
        </a:defRPr>
      </a:pPr>
      <a:endParaRPr lang="es-ES"/>
    </a:p>
  </c:txPr>
  <c:printSettings>
    <c:headerFooter alignWithMargins="0"/>
    <c:pageMargins b="1" l="0.75000000000000766" r="0.75000000000000766" t="1" header="0" footer="0"/>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025" b="1" i="0" u="none" strike="noStrike" baseline="0">
                <a:solidFill>
                  <a:srgbClr val="000000"/>
                </a:solidFill>
                <a:latin typeface="Arial"/>
                <a:ea typeface="Arial"/>
                <a:cs typeface="Arial"/>
              </a:defRPr>
            </a:pPr>
            <a:r>
              <a:rPr lang="es-ES" sz="1025" b="1" i="0" strike="noStrike">
                <a:solidFill>
                  <a:srgbClr val="000000"/>
                </a:solidFill>
                <a:latin typeface="Arial"/>
                <a:cs typeface="Arial"/>
              </a:rPr>
              <a:t>PIB MANUFACTURERO</a:t>
            </a:r>
          </a:p>
          <a:p>
            <a:pPr>
              <a:defRPr sz="1025" b="1" i="0" u="none" strike="noStrike" baseline="0">
                <a:solidFill>
                  <a:srgbClr val="000000"/>
                </a:solidFill>
                <a:latin typeface="Arial"/>
                <a:ea typeface="Arial"/>
                <a:cs typeface="Arial"/>
              </a:defRPr>
            </a:pPr>
            <a:r>
              <a:rPr lang="es-ES" sz="850" b="1" i="0" strike="noStrike">
                <a:solidFill>
                  <a:srgbClr val="000000"/>
                </a:solidFill>
                <a:latin typeface="Arial"/>
                <a:cs typeface="Arial"/>
              </a:rPr>
              <a:t> (Millones de Balboas a precios de 1982)</a:t>
            </a:r>
          </a:p>
          <a:p>
            <a:pPr>
              <a:defRPr sz="1025" b="1" i="0" u="none" strike="noStrike" baseline="0">
                <a:solidFill>
                  <a:srgbClr val="000000"/>
                </a:solidFill>
                <a:latin typeface="Arial"/>
                <a:ea typeface="Arial"/>
                <a:cs typeface="Arial"/>
              </a:defRPr>
            </a:pPr>
            <a:r>
              <a:rPr lang="es-ES" sz="875" b="1" i="0" strike="noStrike">
                <a:solidFill>
                  <a:srgbClr val="000000"/>
                </a:solidFill>
                <a:latin typeface="Arial"/>
                <a:cs typeface="Arial"/>
              </a:rPr>
              <a:t>DATOS HISTÓRICOS 1970-2011</a:t>
            </a:r>
          </a:p>
          <a:p>
            <a:pPr>
              <a:defRPr sz="1025" b="1" i="0" u="none" strike="noStrike" baseline="0">
                <a:solidFill>
                  <a:srgbClr val="000000"/>
                </a:solidFill>
                <a:latin typeface="Arial"/>
                <a:ea typeface="Arial"/>
                <a:cs typeface="Arial"/>
              </a:defRPr>
            </a:pPr>
            <a:endParaRPr lang="es-ES" sz="875" b="1" i="0" strike="noStrike">
              <a:solidFill>
                <a:srgbClr val="000000"/>
              </a:solidFill>
              <a:latin typeface="Arial"/>
              <a:cs typeface="Arial"/>
            </a:endParaRPr>
          </a:p>
        </c:rich>
      </c:tx>
      <c:layout>
        <c:manualLayout>
          <c:xMode val="edge"/>
          <c:yMode val="edge"/>
          <c:x val="0.12500024220347028"/>
          <c:y val="2.4509921252303789E-2"/>
        </c:manualLayout>
      </c:layout>
      <c:spPr>
        <a:noFill/>
        <a:ln w="25400">
          <a:noFill/>
        </a:ln>
      </c:spPr>
    </c:title>
    <c:plotArea>
      <c:layout>
        <c:manualLayout>
          <c:layoutTarget val="inner"/>
          <c:xMode val="edge"/>
          <c:yMode val="edge"/>
          <c:x val="0.12896850386072545"/>
          <c:y val="0.26470714952488095"/>
          <c:w val="0.86309691045254144"/>
          <c:h val="0.51470834629838891"/>
        </c:manualLayout>
      </c:layout>
      <c:lineChart>
        <c:grouping val="standard"/>
        <c:ser>
          <c:idx val="0"/>
          <c:order val="0"/>
          <c:tx>
            <c:strRef>
              <c:f>'13-PIB-Pesimista Base-1982'!$D$6</c:f>
              <c:strCache>
                <c:ptCount val="1"/>
                <c:pt idx="0">
                  <c:v>PIB IND</c:v>
                </c:pt>
              </c:strCache>
            </c:strRef>
          </c:tx>
          <c:spPr>
            <a:ln w="38100">
              <a:solidFill>
                <a:srgbClr val="000080"/>
              </a:solidFill>
              <a:prstDash val="solid"/>
            </a:ln>
          </c:spPr>
          <c:marker>
            <c:symbol val="none"/>
          </c:marker>
          <c:trendline>
            <c:spPr>
              <a:ln w="38100">
                <a:solidFill>
                  <a:srgbClr val="FF00FF"/>
                </a:solidFill>
                <a:prstDash val="solid"/>
              </a:ln>
            </c:spPr>
            <c:trendlineType val="linear"/>
            <c:dispRSqr val="1"/>
            <c:dispEq val="1"/>
            <c:trendlineLbl>
              <c:layout>
                <c:manualLayout>
                  <c:x val="4.2468764001357004E-2"/>
                  <c:y val="-0.31469958932358238"/>
                </c:manualLayout>
              </c:layout>
              <c:tx>
                <c:rich>
                  <a:bodyPr/>
                  <a:lstStyle/>
                  <a:p>
                    <a:pPr>
                      <a:defRPr sz="1200" b="0" i="0" u="none" strike="noStrike" baseline="0">
                        <a:solidFill>
                          <a:srgbClr val="000000"/>
                        </a:solidFill>
                        <a:latin typeface="Arial"/>
                        <a:ea typeface="Arial"/>
                        <a:cs typeface="Arial"/>
                      </a:defRPr>
                    </a:pPr>
                    <a:r>
                      <a:rPr lang="es-ES" sz="1200" b="0" i="0" strike="noStrike">
                        <a:solidFill>
                          <a:srgbClr val="000000"/>
                        </a:solidFill>
                        <a:latin typeface="Arial"/>
                        <a:cs typeface="Arial"/>
                      </a:rPr>
                      <a:t>R</a:t>
                    </a:r>
                    <a:r>
                      <a:rPr lang="es-ES" sz="1200" b="0" i="0" strike="noStrike" baseline="30000">
                        <a:solidFill>
                          <a:srgbClr val="000000"/>
                        </a:solidFill>
                        <a:latin typeface="Arial"/>
                        <a:cs typeface="Arial"/>
                      </a:rPr>
                      <a:t>2</a:t>
                    </a:r>
                    <a:r>
                      <a:rPr lang="es-ES" sz="1200" b="0" i="0" strike="noStrike">
                        <a:solidFill>
                          <a:srgbClr val="000000"/>
                        </a:solidFill>
                        <a:latin typeface="Arial"/>
                        <a:cs typeface="Arial"/>
                      </a:rPr>
                      <a:t> = 0.7725</a:t>
                    </a:r>
                  </a:p>
                </c:rich>
              </c:tx>
              <c:numFmt formatCode="General" sourceLinked="0"/>
              <c:spPr>
                <a:noFill/>
                <a:ln w="25400">
                  <a:noFill/>
                </a:ln>
              </c:spPr>
            </c:trendlineLbl>
          </c:trendline>
          <c:cat>
            <c:numRef>
              <c:f>'13-PIB-Pesimista Base-1982'!$A$7:$A$49</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'13-PIB-Pesimista Base-1982'!$D$7:$D$49</c:f>
              <c:numCache>
                <c:formatCode>_-* #,##0.0_-;\-* #,##0.0_-;_-* "-"??_-;_-@_-</c:formatCode>
                <c:ptCount val="43"/>
                <c:pt idx="0">
                  <c:v>305.02217877094967</c:v>
                </c:pt>
                <c:pt idx="1">
                  <c:v>324.43050279329606</c:v>
                </c:pt>
                <c:pt idx="2">
                  <c:v>339.28625698324015</c:v>
                </c:pt>
                <c:pt idx="3">
                  <c:v>360.61145251396641</c:v>
                </c:pt>
                <c:pt idx="4">
                  <c:v>365.40363128491617</c:v>
                </c:pt>
                <c:pt idx="5">
                  <c:v>352.22513966480443</c:v>
                </c:pt>
                <c:pt idx="6">
                  <c:v>361.09067039106139</c:v>
                </c:pt>
                <c:pt idx="7">
                  <c:v>365.40363128491612</c:v>
                </c:pt>
                <c:pt idx="8">
                  <c:v>371.15424581005578</c:v>
                </c:pt>
                <c:pt idx="9">
                  <c:v>412.1273743016759</c:v>
                </c:pt>
                <c:pt idx="10">
                  <c:v>428.9</c:v>
                </c:pt>
                <c:pt idx="11">
                  <c:v>418</c:v>
                </c:pt>
                <c:pt idx="12">
                  <c:v>433</c:v>
                </c:pt>
                <c:pt idx="13">
                  <c:v>423.7</c:v>
                </c:pt>
                <c:pt idx="14">
                  <c:v>452.7</c:v>
                </c:pt>
                <c:pt idx="15">
                  <c:v>478.1</c:v>
                </c:pt>
                <c:pt idx="16">
                  <c:v>481.4</c:v>
                </c:pt>
                <c:pt idx="17">
                  <c:v>514.5</c:v>
                </c:pt>
                <c:pt idx="18">
                  <c:v>398.9</c:v>
                </c:pt>
                <c:pt idx="19">
                  <c:v>404.1</c:v>
                </c:pt>
                <c:pt idx="20">
                  <c:v>459.8</c:v>
                </c:pt>
                <c:pt idx="21">
                  <c:v>507.9</c:v>
                </c:pt>
                <c:pt idx="22">
                  <c:v>554.4</c:v>
                </c:pt>
                <c:pt idx="23">
                  <c:v>589.5</c:v>
                </c:pt>
                <c:pt idx="24">
                  <c:v>614.6</c:v>
                </c:pt>
                <c:pt idx="25">
                  <c:v>615.79999999999995</c:v>
                </c:pt>
                <c:pt idx="26">
                  <c:v>608.1</c:v>
                </c:pt>
                <c:pt idx="27">
                  <c:v>627.8988604503935</c:v>
                </c:pt>
                <c:pt idx="28">
                  <c:v>672.1</c:v>
                </c:pt>
                <c:pt idx="29">
                  <c:v>622</c:v>
                </c:pt>
                <c:pt idx="30">
                  <c:v>589.20000000000005</c:v>
                </c:pt>
                <c:pt idx="31">
                  <c:v>555.6</c:v>
                </c:pt>
                <c:pt idx="32">
                  <c:v>541.03735749780765</c:v>
                </c:pt>
                <c:pt idx="33">
                  <c:v>522.63104355451617</c:v>
                </c:pt>
                <c:pt idx="34">
                  <c:v>533.51242326805016</c:v>
                </c:pt>
                <c:pt idx="35">
                  <c:v>555.92481730488157</c:v>
                </c:pt>
                <c:pt idx="36">
                  <c:v>577.47103186202855</c:v>
                </c:pt>
                <c:pt idx="37">
                  <c:v>609.95276235018991</c:v>
                </c:pt>
                <c:pt idx="38">
                  <c:v>633.88172838351363</c:v>
                </c:pt>
                <c:pt idx="39">
                  <c:v>630.09143525285003</c:v>
                </c:pt>
                <c:pt idx="40">
                  <c:v>637.02087109032436</c:v>
                </c:pt>
                <c:pt idx="41">
                  <c:v>657.59263373282647</c:v>
                </c:pt>
                <c:pt idx="42">
                  <c:v>679.74957772108917</c:v>
                </c:pt>
              </c:numCache>
            </c:numRef>
          </c:val>
        </c:ser>
        <c:marker val="1"/>
        <c:axId val="70750592"/>
        <c:axId val="70752128"/>
      </c:lineChart>
      <c:catAx>
        <c:axId val="70750592"/>
        <c:scaling>
          <c:orientation val="minMax"/>
        </c:scaling>
        <c:axPos val="b"/>
        <c:numFmt formatCode="General" sourceLinked="1"/>
        <c:tickLblPos val="nextTo"/>
        <c:spPr>
          <a:ln w="3175">
            <a:solidFill>
              <a:srgbClr val="000000"/>
            </a:solidFill>
            <a:prstDash val="solid"/>
          </a:ln>
        </c:spPr>
        <c:txPr>
          <a:bodyPr rot="-2700000" vert="horz"/>
          <a:lstStyle/>
          <a:p>
            <a:pPr>
              <a:defRPr sz="800" b="0" i="1" u="none" strike="noStrike" baseline="0">
                <a:solidFill>
                  <a:srgbClr val="0000FF"/>
                </a:solidFill>
                <a:latin typeface="Arial"/>
                <a:ea typeface="Arial"/>
                <a:cs typeface="Arial"/>
              </a:defRPr>
            </a:pPr>
            <a:endParaRPr lang="es-ES"/>
          </a:p>
        </c:txPr>
        <c:crossAx val="70752128"/>
        <c:crosses val="autoZero"/>
        <c:auto val="1"/>
        <c:lblAlgn val="ctr"/>
        <c:lblOffset val="100"/>
        <c:tickLblSkip val="2"/>
        <c:tickMarkSkip val="1"/>
      </c:catAx>
      <c:valAx>
        <c:axId val="70752128"/>
        <c:scaling>
          <c:orientation val="minMax"/>
          <c:min val="200"/>
        </c:scaling>
        <c:axPos val="l"/>
        <c:majorGridlines>
          <c:spPr>
            <a:ln w="12700">
              <a:solidFill>
                <a:srgbClr val="FF0000"/>
              </a:solidFill>
              <a:prstDash val="solid"/>
            </a:ln>
          </c:spPr>
        </c:majorGridlines>
        <c:numFmt formatCode="#,##0" sourceLinked="0"/>
        <c:tickLblPos val="nextTo"/>
        <c:spPr>
          <a:ln w="9525">
            <a:noFill/>
          </a:ln>
        </c:spPr>
        <c:txPr>
          <a:bodyPr rot="0" vert="horz"/>
          <a:lstStyle/>
          <a:p>
            <a:pPr>
              <a:defRPr sz="1050" b="0" i="1" u="none" strike="noStrike" baseline="0">
                <a:solidFill>
                  <a:srgbClr val="0000FF"/>
                </a:solidFill>
                <a:latin typeface="Arial"/>
                <a:ea typeface="Arial"/>
                <a:cs typeface="Arial"/>
              </a:defRPr>
            </a:pPr>
            <a:endParaRPr lang="es-ES"/>
          </a:p>
        </c:txPr>
        <c:crossAx val="70750592"/>
        <c:crosses val="autoZero"/>
        <c:crossBetween val="between"/>
      </c:valAx>
      <c:spPr>
        <a:gradFill>
          <a:gsLst>
            <a:gs pos="0">
              <a:srgbClr val="5E9EFF"/>
            </a:gs>
            <a:gs pos="39999">
              <a:srgbClr val="85C2FF"/>
            </a:gs>
            <a:gs pos="70000">
              <a:srgbClr val="C4D6EB"/>
            </a:gs>
            <a:gs pos="100000">
              <a:srgbClr val="FFEBFA"/>
            </a:gs>
          </a:gsLst>
          <a:lin ang="5400000" scaled="0"/>
        </a:gradFill>
        <a:ln w="25400">
          <a:noFill/>
        </a:ln>
      </c:spPr>
    </c:plotArea>
    <c:legend>
      <c:legendPos val="r"/>
      <c:layout>
        <c:manualLayout>
          <c:xMode val="edge"/>
          <c:yMode val="edge"/>
          <c:x val="0.48611215264758578"/>
          <c:y val="0.63725798981009729"/>
          <c:w val="0.49801683798526397"/>
          <c:h val="0.11764762201105819"/>
        </c:manualLayout>
      </c:layout>
      <c:spPr>
        <a:noFill/>
        <a:ln w="3175">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es-ES"/>
        </a:p>
      </c:txPr>
    </c:legend>
    <c:plotVisOnly val="1"/>
    <c:dispBlanksAs val="gap"/>
  </c:chart>
  <c:spPr>
    <a:solidFill>
      <a:srgbClr val="CCFFFF"/>
    </a:solidFill>
    <a:ln w="9525">
      <a:noFill/>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000000000000766" r="0.75000000000000766" t="1" header="0" footer="0"/>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75" b="1" i="0" u="none" strike="noStrike" baseline="0">
                <a:solidFill>
                  <a:srgbClr val="000000"/>
                </a:solidFill>
                <a:latin typeface="Arial"/>
                <a:ea typeface="Arial"/>
                <a:cs typeface="Arial"/>
              </a:defRPr>
            </a:pPr>
            <a:r>
              <a:rPr lang="es-ES" sz="975" b="1" i="0" strike="noStrike">
                <a:solidFill>
                  <a:srgbClr val="000000"/>
                </a:solidFill>
                <a:latin typeface="Arial"/>
                <a:cs typeface="Arial"/>
              </a:rPr>
              <a:t>PIB MANUFACTURERO</a:t>
            </a:r>
            <a:endParaRPr lang="es-ES" sz="800" b="1" i="0" strike="noStrike">
              <a:solidFill>
                <a:srgbClr val="000000"/>
              </a:solidFill>
              <a:latin typeface="Arial"/>
              <a:cs typeface="Arial"/>
            </a:endParaRPr>
          </a:p>
          <a:p>
            <a:pPr>
              <a:defRPr sz="975" b="1" i="0" u="none" strike="noStrike" baseline="0">
                <a:solidFill>
                  <a:srgbClr val="000000"/>
                </a:solidFill>
                <a:latin typeface="Arial"/>
                <a:ea typeface="Arial"/>
                <a:cs typeface="Arial"/>
              </a:defRPr>
            </a:pPr>
            <a:r>
              <a:rPr lang="es-ES" sz="800" b="1" i="0" strike="noStrike">
                <a:solidFill>
                  <a:srgbClr val="000000"/>
                </a:solidFill>
                <a:latin typeface="Arial"/>
                <a:cs typeface="Arial"/>
              </a:rPr>
              <a:t> (Millones de Balboas a precios de 1982)</a:t>
            </a:r>
          </a:p>
          <a:p>
            <a:pPr>
              <a:defRPr sz="975" b="1" i="0" u="none" strike="noStrike" baseline="0">
                <a:solidFill>
                  <a:srgbClr val="000000"/>
                </a:solidFill>
                <a:latin typeface="Arial"/>
                <a:ea typeface="Arial"/>
                <a:cs typeface="Arial"/>
              </a:defRPr>
            </a:pPr>
            <a:r>
              <a:rPr lang="es-ES" sz="800" b="1" i="0" strike="noStrike">
                <a:solidFill>
                  <a:srgbClr val="000000"/>
                </a:solidFill>
                <a:latin typeface="Arial"/>
                <a:cs typeface="Arial"/>
              </a:rPr>
              <a:t>2003 - 2026</a:t>
            </a:r>
          </a:p>
          <a:p>
            <a:pPr>
              <a:defRPr sz="975" b="1" i="0" u="none" strike="noStrike" baseline="0">
                <a:solidFill>
                  <a:srgbClr val="000000"/>
                </a:solidFill>
                <a:latin typeface="Arial"/>
                <a:ea typeface="Arial"/>
                <a:cs typeface="Arial"/>
              </a:defRPr>
            </a:pPr>
            <a:r>
              <a:rPr lang="es-ES" sz="800" b="1" i="0" strike="noStrike">
                <a:solidFill>
                  <a:srgbClr val="000000"/>
                </a:solidFill>
                <a:latin typeface="Arial"/>
                <a:cs typeface="Arial"/>
              </a:rPr>
              <a:t> (Historia reciente + Proyección)</a:t>
            </a:r>
          </a:p>
        </c:rich>
      </c:tx>
      <c:layout>
        <c:manualLayout>
          <c:xMode val="edge"/>
          <c:yMode val="edge"/>
          <c:x val="0.10256430011922962"/>
          <c:y val="2.4509921252303789E-2"/>
        </c:manualLayout>
      </c:layout>
      <c:spPr>
        <a:noFill/>
        <a:ln w="25400">
          <a:noFill/>
        </a:ln>
      </c:spPr>
    </c:title>
    <c:plotArea>
      <c:layout>
        <c:manualLayout>
          <c:layoutTarget val="inner"/>
          <c:xMode val="edge"/>
          <c:yMode val="edge"/>
          <c:x val="0.12031581360140355"/>
          <c:y val="0.26470714952488095"/>
          <c:w val="0.86390698946581734"/>
          <c:h val="0.51470834629838891"/>
        </c:manualLayout>
      </c:layout>
      <c:lineChart>
        <c:grouping val="standard"/>
        <c:ser>
          <c:idx val="0"/>
          <c:order val="0"/>
          <c:tx>
            <c:strRef>
              <c:f>'13-PIB-Pesimista Base-1982'!$D$6</c:f>
              <c:strCache>
                <c:ptCount val="1"/>
                <c:pt idx="0">
                  <c:v>PIB IND</c:v>
                </c:pt>
              </c:strCache>
            </c:strRef>
          </c:tx>
          <c:spPr>
            <a:ln w="38100">
              <a:solidFill>
                <a:srgbClr val="000080"/>
              </a:solidFill>
              <a:prstDash val="solid"/>
            </a:ln>
          </c:spPr>
          <c:marker>
            <c:symbol val="none"/>
          </c:marker>
          <c:trendline>
            <c:spPr>
              <a:ln w="38100">
                <a:solidFill>
                  <a:srgbClr val="FF0000"/>
                </a:solidFill>
                <a:prstDash val="solid"/>
              </a:ln>
            </c:spPr>
            <c:trendlineType val="linear"/>
            <c:dispRSqr val="1"/>
            <c:trendlineLbl>
              <c:layout>
                <c:manualLayout>
                  <c:x val="3.1758926124206936E-2"/>
                  <c:y val="-0.26960870815733001"/>
                </c:manualLayout>
              </c:layout>
              <c:tx>
                <c:rich>
                  <a:bodyPr/>
                  <a:lstStyle/>
                  <a:p>
                    <a:pPr>
                      <a:defRPr sz="1200" b="0" i="0" u="none" strike="noStrike" baseline="0">
                        <a:solidFill>
                          <a:srgbClr val="000000"/>
                        </a:solidFill>
                        <a:latin typeface="Arial"/>
                        <a:ea typeface="Arial"/>
                        <a:cs typeface="Arial"/>
                      </a:defRPr>
                    </a:pPr>
                    <a:r>
                      <a:rPr lang="es-ES" sz="1200" b="0" i="0" strike="noStrike">
                        <a:solidFill>
                          <a:srgbClr val="000000"/>
                        </a:solidFill>
                        <a:latin typeface="Arial"/>
                        <a:cs typeface="Arial"/>
                      </a:rPr>
                      <a:t>R</a:t>
                    </a:r>
                    <a:r>
                      <a:rPr lang="es-ES" sz="1200" b="0" i="0" strike="noStrike" baseline="30000">
                        <a:solidFill>
                          <a:srgbClr val="000000"/>
                        </a:solidFill>
                        <a:latin typeface="Arial"/>
                        <a:cs typeface="Arial"/>
                      </a:rPr>
                      <a:t>2</a:t>
                    </a:r>
                    <a:r>
                      <a:rPr lang="es-ES" sz="1200" b="0" i="0" strike="noStrike">
                        <a:solidFill>
                          <a:srgbClr val="000000"/>
                        </a:solidFill>
                        <a:latin typeface="Arial"/>
                        <a:cs typeface="Arial"/>
                      </a:rPr>
                      <a:t> = 0.9885</a:t>
                    </a:r>
                  </a:p>
                </c:rich>
              </c:tx>
              <c:numFmt formatCode="General" sourceLinked="0"/>
              <c:spPr>
                <a:noFill/>
                <a:ln w="25400">
                  <a:noFill/>
                </a:ln>
              </c:spPr>
            </c:trendlineLbl>
          </c:trendline>
          <c:cat>
            <c:numRef>
              <c:f>'13-PIB-Pesimista Base-1982'!$A$40:$A$64</c:f>
              <c:numCache>
                <c:formatCode>General</c:formatCode>
                <c:ptCount val="2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numCache>
            </c:numRef>
          </c:cat>
          <c:val>
            <c:numRef>
              <c:f>'13-PIB-Pesimista Base-1982'!$D$40:$D$64</c:f>
              <c:numCache>
                <c:formatCode>_-* #,##0.0_-;\-* #,##0.0_-;_-* "-"??_-;_-@_-</c:formatCode>
                <c:ptCount val="25"/>
                <c:pt idx="0">
                  <c:v>522.63104355451617</c:v>
                </c:pt>
                <c:pt idx="1">
                  <c:v>533.51242326805016</c:v>
                </c:pt>
                <c:pt idx="2">
                  <c:v>555.92481730488157</c:v>
                </c:pt>
                <c:pt idx="3">
                  <c:v>577.47103186202855</c:v>
                </c:pt>
                <c:pt idx="4">
                  <c:v>609.95276235018991</c:v>
                </c:pt>
                <c:pt idx="5">
                  <c:v>633.88172838351363</c:v>
                </c:pt>
                <c:pt idx="6">
                  <c:v>630.09143525285003</c:v>
                </c:pt>
                <c:pt idx="7">
                  <c:v>637.02087109032436</c:v>
                </c:pt>
                <c:pt idx="8">
                  <c:v>657.59263373282647</c:v>
                </c:pt>
                <c:pt idx="9">
                  <c:v>679.74957772108917</c:v>
                </c:pt>
                <c:pt idx="10">
                  <c:v>675.68582586862726</c:v>
                </c:pt>
                <c:pt idx="11">
                  <c:v>701.27787855694078</c:v>
                </c:pt>
                <c:pt idx="12">
                  <c:v>748.56754113317254</c:v>
                </c:pt>
                <c:pt idx="13">
                  <c:v>765.5361847634673</c:v>
                </c:pt>
                <c:pt idx="14">
                  <c:v>789.73736502306815</c:v>
                </c:pt>
                <c:pt idx="15">
                  <c:v>817.83298808306472</c:v>
                </c:pt>
                <c:pt idx="16">
                  <c:v>844.53773871434862</c:v>
                </c:pt>
                <c:pt idx="17">
                  <c:v>875.1369321460279</c:v>
                </c:pt>
                <c:pt idx="18">
                  <c:v>902.39803174879648</c:v>
                </c:pt>
                <c:pt idx="19">
                  <c:v>928.82460789433765</c:v>
                </c:pt>
                <c:pt idx="20">
                  <c:v>952.46943918245358</c:v>
                </c:pt>
                <c:pt idx="21">
                  <c:v>995.30830998680472</c:v>
                </c:pt>
                <c:pt idx="22">
                  <c:v>1022.847584075316</c:v>
                </c:pt>
                <c:pt idx="23">
                  <c:v>1055.2561843665173</c:v>
                </c:pt>
                <c:pt idx="24">
                  <c:v>1088.691640847426</c:v>
                </c:pt>
              </c:numCache>
            </c:numRef>
          </c:val>
        </c:ser>
        <c:marker val="1"/>
        <c:axId val="131934464"/>
        <c:axId val="131960832"/>
      </c:lineChart>
      <c:catAx>
        <c:axId val="131934464"/>
        <c:scaling>
          <c:orientation val="minMax"/>
        </c:scaling>
        <c:axPos val="b"/>
        <c:numFmt formatCode="General" sourceLinked="1"/>
        <c:tickLblPos val="nextTo"/>
        <c:spPr>
          <a:ln w="3175">
            <a:solidFill>
              <a:srgbClr val="000000"/>
            </a:solidFill>
            <a:prstDash val="solid"/>
          </a:ln>
        </c:spPr>
        <c:txPr>
          <a:bodyPr rot="-2700000" vert="horz"/>
          <a:lstStyle/>
          <a:p>
            <a:pPr>
              <a:defRPr sz="800" b="0" i="1" u="none" strike="noStrike" baseline="0">
                <a:solidFill>
                  <a:srgbClr val="0000FF"/>
                </a:solidFill>
                <a:latin typeface="Arial"/>
                <a:ea typeface="Arial"/>
                <a:cs typeface="Arial"/>
              </a:defRPr>
            </a:pPr>
            <a:endParaRPr lang="es-ES"/>
          </a:p>
        </c:txPr>
        <c:crossAx val="131960832"/>
        <c:crosses val="autoZero"/>
        <c:auto val="1"/>
        <c:lblAlgn val="ctr"/>
        <c:lblOffset val="100"/>
        <c:tickLblSkip val="2"/>
        <c:tickMarkSkip val="1"/>
      </c:catAx>
      <c:valAx>
        <c:axId val="131960832"/>
        <c:scaling>
          <c:orientation val="minMax"/>
          <c:min val="400"/>
        </c:scaling>
        <c:axPos val="l"/>
        <c:majorGridlines>
          <c:spPr>
            <a:ln w="12700">
              <a:solidFill>
                <a:srgbClr val="FF0000"/>
              </a:solidFill>
              <a:prstDash val="solid"/>
            </a:ln>
          </c:spPr>
        </c:majorGridlines>
        <c:numFmt formatCode="#,##0" sourceLinked="0"/>
        <c:tickLblPos val="nextTo"/>
        <c:spPr>
          <a:ln w="9525">
            <a:noFill/>
          </a:ln>
        </c:spPr>
        <c:txPr>
          <a:bodyPr rot="0" vert="horz"/>
          <a:lstStyle/>
          <a:p>
            <a:pPr>
              <a:defRPr sz="800" b="0" i="1" u="none" strike="noStrike" baseline="0">
                <a:solidFill>
                  <a:srgbClr val="0000FF"/>
                </a:solidFill>
                <a:latin typeface="Arial"/>
                <a:ea typeface="Arial"/>
                <a:cs typeface="Arial"/>
              </a:defRPr>
            </a:pPr>
            <a:endParaRPr lang="es-ES"/>
          </a:p>
        </c:txPr>
        <c:crossAx val="131934464"/>
        <c:crosses val="autoZero"/>
        <c:crossBetween val="between"/>
      </c:valAx>
      <c:spPr>
        <a:gradFill>
          <a:gsLst>
            <a:gs pos="0">
              <a:srgbClr val="5E9EFF"/>
            </a:gs>
            <a:gs pos="39999">
              <a:srgbClr val="85C2FF"/>
            </a:gs>
            <a:gs pos="70000">
              <a:srgbClr val="C4D6EB"/>
            </a:gs>
            <a:gs pos="100000">
              <a:srgbClr val="FFEBFA"/>
            </a:gs>
          </a:gsLst>
          <a:lin ang="5400000" scaled="0"/>
        </a:gradFill>
        <a:ln w="25400">
          <a:noFill/>
        </a:ln>
      </c:spPr>
    </c:plotArea>
    <c:legend>
      <c:legendPos val="r"/>
      <c:layout>
        <c:manualLayout>
          <c:xMode val="edge"/>
          <c:yMode val="edge"/>
          <c:x val="0.49441260670818532"/>
          <c:y val="0.64052596366630665"/>
          <c:w val="0.49506998711397976"/>
          <c:h val="0.11764762201105819"/>
        </c:manualLayout>
      </c:layout>
      <c:spPr>
        <a:noFill/>
        <a:ln w="3175">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es-ES"/>
        </a:p>
      </c:txPr>
    </c:legend>
    <c:plotVisOnly val="1"/>
    <c:dispBlanksAs val="gap"/>
  </c:chart>
  <c:spPr>
    <a:solidFill>
      <a:srgbClr val="CCFFFF"/>
    </a:solidFill>
    <a:ln w="9525">
      <a:noFill/>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000000000000766" r="0.75000000000000766" t="1" header="0" footer="0"/>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000" b="0" i="0" u="none" strike="noStrike" baseline="0">
                <a:solidFill>
                  <a:srgbClr val="000000"/>
                </a:solidFill>
                <a:latin typeface="Calibri"/>
                <a:ea typeface="Calibri"/>
                <a:cs typeface="Calibri"/>
              </a:defRPr>
            </a:pPr>
            <a:r>
              <a:rPr lang="es-ES" sz="1800" b="1" i="0" u="none" strike="noStrike" baseline="0">
                <a:solidFill>
                  <a:srgbClr val="000000"/>
                </a:solidFill>
                <a:latin typeface="Calibri"/>
              </a:rPr>
              <a:t> PROYECCIONES  DEL PIB 2012-2026</a:t>
            </a:r>
          </a:p>
          <a:p>
            <a:pPr>
              <a:defRPr sz="1000" b="0" i="0" u="none" strike="noStrike" baseline="0">
                <a:solidFill>
                  <a:srgbClr val="000000"/>
                </a:solidFill>
                <a:latin typeface="Calibri"/>
                <a:ea typeface="Calibri"/>
                <a:cs typeface="Calibri"/>
              </a:defRPr>
            </a:pPr>
            <a:r>
              <a:rPr lang="es-ES" sz="1200" b="1" i="0" u="none" strike="noStrike" baseline="0">
                <a:solidFill>
                  <a:srgbClr val="000000"/>
                </a:solidFill>
                <a:latin typeface="Calibri"/>
              </a:rPr>
              <a:t>POR TIPO DE ESCENARIO </a:t>
            </a:r>
          </a:p>
        </c:rich>
      </c:tx>
      <c:overlay val="1"/>
    </c:title>
    <c:plotArea>
      <c:layout>
        <c:manualLayout>
          <c:layoutTarget val="inner"/>
          <c:xMode val="edge"/>
          <c:yMode val="edge"/>
          <c:x val="0.15198840769903788"/>
          <c:y val="0.21752076072458157"/>
          <c:w val="0.78625109361329915"/>
          <c:h val="0.53539864893937461"/>
        </c:manualLayout>
      </c:layout>
      <c:lineChart>
        <c:grouping val="standard"/>
        <c:ser>
          <c:idx val="3"/>
          <c:order val="0"/>
          <c:tx>
            <c:strRef>
              <c:f>'7-Estimacion PIB 2013-2027'!$L$10:$M$10</c:f>
              <c:strCache>
                <c:ptCount val="1"/>
                <c:pt idx="0">
                  <c:v>ESC.   MOD.</c:v>
                </c:pt>
              </c:strCache>
            </c:strRef>
          </c:tx>
          <c:marker>
            <c:symbol val="none"/>
          </c:marker>
          <c:cat>
            <c:numRef>
              <c:f>'7-Estimacion PIB 2013-2027'!$C$20:$C$35</c:f>
              <c:numCache>
                <c:formatCode>General</c:formatCode>
                <c:ptCount val="16"/>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numCache>
            </c:numRef>
          </c:cat>
          <c:val>
            <c:numRef>
              <c:f>'7-Estimacion PIB 2013-2027'!$L$20:$L$35</c:f>
              <c:numCache>
                <c:formatCode>#,##0.0</c:formatCode>
                <c:ptCount val="16"/>
                <c:pt idx="0">
                  <c:v>23271.994431204628</c:v>
                </c:pt>
                <c:pt idx="1">
                  <c:v>25752.182326359442</c:v>
                </c:pt>
                <c:pt idx="2">
                  <c:v>27734.651600513702</c:v>
                </c:pt>
                <c:pt idx="3">
                  <c:v>29395.957231384473</c:v>
                </c:pt>
                <c:pt idx="4">
                  <c:v>31119.295224074387</c:v>
                </c:pt>
                <c:pt idx="5">
                  <c:v>33017.572232742925</c:v>
                </c:pt>
                <c:pt idx="6">
                  <c:v>34668.450844380073</c:v>
                </c:pt>
                <c:pt idx="7">
                  <c:v>36401.87338659908</c:v>
                </c:pt>
                <c:pt idx="8">
                  <c:v>38221.967055929039</c:v>
                </c:pt>
                <c:pt idx="9">
                  <c:v>40133.065408725495</c:v>
                </c:pt>
                <c:pt idx="10">
                  <c:v>42139.718679161771</c:v>
                </c:pt>
                <c:pt idx="11">
                  <c:v>44246.704613119859</c:v>
                </c:pt>
                <c:pt idx="12">
                  <c:v>46459.039843775856</c:v>
                </c:pt>
                <c:pt idx="13">
                  <c:v>48781.991835964647</c:v>
                </c:pt>
                <c:pt idx="14">
                  <c:v>51221.091427762884</c:v>
                </c:pt>
                <c:pt idx="15">
                  <c:v>53782.145999151027</c:v>
                </c:pt>
              </c:numCache>
            </c:numRef>
          </c:val>
        </c:ser>
        <c:ser>
          <c:idx val="4"/>
          <c:order val="1"/>
          <c:tx>
            <c:strRef>
              <c:f>'7-Estimacion PIB 2013-2027'!$N$10:$O$10</c:f>
              <c:strCache>
                <c:ptCount val="1"/>
                <c:pt idx="0">
                  <c:v>ESC.   OPTIM.</c:v>
                </c:pt>
              </c:strCache>
            </c:strRef>
          </c:tx>
          <c:marker>
            <c:symbol val="none"/>
          </c:marker>
          <c:cat>
            <c:numRef>
              <c:f>'7-Estimacion PIB 2013-2027'!$C$20:$C$35</c:f>
              <c:numCache>
                <c:formatCode>General</c:formatCode>
                <c:ptCount val="16"/>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numCache>
            </c:numRef>
          </c:cat>
          <c:val>
            <c:numRef>
              <c:f>'7-Estimacion PIB 2013-2027'!$N$20:$N$35</c:f>
              <c:numCache>
                <c:formatCode>#,##0.0</c:formatCode>
                <c:ptCount val="16"/>
                <c:pt idx="0">
                  <c:v>23271.994431204628</c:v>
                </c:pt>
                <c:pt idx="1">
                  <c:v>25752.182326359442</c:v>
                </c:pt>
                <c:pt idx="2">
                  <c:v>28521.627822336774</c:v>
                </c:pt>
                <c:pt idx="3">
                  <c:v>30660.749909012029</c:v>
                </c:pt>
                <c:pt idx="4">
                  <c:v>32960.306152187928</c:v>
                </c:pt>
                <c:pt idx="5">
                  <c:v>35432.32911360202</c:v>
                </c:pt>
                <c:pt idx="6">
                  <c:v>37735.430505986151</c:v>
                </c:pt>
                <c:pt idx="7">
                  <c:v>40188.233488875252</c:v>
                </c:pt>
                <c:pt idx="8">
                  <c:v>42800.468665652144</c:v>
                </c:pt>
                <c:pt idx="9">
                  <c:v>45582.499128919531</c:v>
                </c:pt>
                <c:pt idx="10">
                  <c:v>48545.361572299298</c:v>
                </c:pt>
                <c:pt idx="11">
                  <c:v>51458.083266637259</c:v>
                </c:pt>
                <c:pt idx="12">
                  <c:v>54545.568262635497</c:v>
                </c:pt>
                <c:pt idx="13">
                  <c:v>57818.30235839363</c:v>
                </c:pt>
                <c:pt idx="14">
                  <c:v>61287.400499897252</c:v>
                </c:pt>
                <c:pt idx="15">
                  <c:v>64964.644529891091</c:v>
                </c:pt>
              </c:numCache>
            </c:numRef>
          </c:val>
        </c:ser>
        <c:ser>
          <c:idx val="5"/>
          <c:order val="2"/>
          <c:tx>
            <c:strRef>
              <c:f>'7-Estimacion PIB 2013-2027'!$P$10:$Q$10</c:f>
              <c:strCache>
                <c:ptCount val="1"/>
                <c:pt idx="0">
                  <c:v>ESC.   PES.</c:v>
                </c:pt>
              </c:strCache>
            </c:strRef>
          </c:tx>
          <c:marker>
            <c:symbol val="none"/>
          </c:marker>
          <c:cat>
            <c:numRef>
              <c:f>'7-Estimacion PIB 2013-2027'!$C$20:$C$35</c:f>
              <c:numCache>
                <c:formatCode>General</c:formatCode>
                <c:ptCount val="16"/>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numCache>
            </c:numRef>
          </c:cat>
          <c:val>
            <c:numRef>
              <c:f>'7-Estimacion PIB 2013-2027'!$P$20:$P$35</c:f>
              <c:numCache>
                <c:formatCode>#,##0.0</c:formatCode>
                <c:ptCount val="16"/>
                <c:pt idx="0">
                  <c:v>23271.994431204628</c:v>
                </c:pt>
                <c:pt idx="1">
                  <c:v>25752.182326359442</c:v>
                </c:pt>
                <c:pt idx="2">
                  <c:v>26728.840462112963</c:v>
                </c:pt>
                <c:pt idx="3">
                  <c:v>27797.994080597484</c:v>
                </c:pt>
                <c:pt idx="4">
                  <c:v>28909.913843821385</c:v>
                </c:pt>
                <c:pt idx="5">
                  <c:v>30066.310397574242</c:v>
                </c:pt>
                <c:pt idx="6">
                  <c:v>31193.797037483277</c:v>
                </c:pt>
                <c:pt idx="7">
                  <c:v>32363.564426388901</c:v>
                </c:pt>
                <c:pt idx="8">
                  <c:v>33577.198092378487</c:v>
                </c:pt>
                <c:pt idx="9">
                  <c:v>34836.34302084268</c:v>
                </c:pt>
                <c:pt idx="10">
                  <c:v>36142.705884124283</c:v>
                </c:pt>
                <c:pt idx="11">
                  <c:v>37407.700590068627</c:v>
                </c:pt>
                <c:pt idx="12">
                  <c:v>38716.970110721028</c:v>
                </c:pt>
                <c:pt idx="13">
                  <c:v>40072.064064596263</c:v>
                </c:pt>
                <c:pt idx="14">
                  <c:v>41474.586306857127</c:v>
                </c:pt>
                <c:pt idx="15">
                  <c:v>42926.196827597123</c:v>
                </c:pt>
              </c:numCache>
            </c:numRef>
          </c:val>
        </c:ser>
        <c:marker val="1"/>
        <c:axId val="129236352"/>
        <c:axId val="129107072"/>
      </c:lineChart>
      <c:catAx>
        <c:axId val="12923635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29107072"/>
        <c:crosses val="autoZero"/>
        <c:auto val="1"/>
        <c:lblAlgn val="ctr"/>
        <c:lblOffset val="100"/>
        <c:tickLblSkip val="3"/>
      </c:catAx>
      <c:valAx>
        <c:axId val="129107072"/>
        <c:scaling>
          <c:orientation val="minMax"/>
          <c:min val="20000"/>
        </c:scaling>
        <c:axPos val="l"/>
        <c:majorGridlines/>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29236352"/>
        <c:crosses val="autoZero"/>
        <c:crossBetween val="between"/>
        <c:dispUnits>
          <c:builtInUnit val="thousands"/>
          <c:dispUnitsLbl>
            <c:txPr>
              <a:bodyPr rot="-5400000" vert="horz"/>
              <a:lstStyle/>
              <a:p>
                <a:pPr algn="ctr">
                  <a:defRPr sz="1000" b="1" i="0" u="none" strike="noStrike" baseline="0">
                    <a:solidFill>
                      <a:srgbClr val="000000"/>
                    </a:solidFill>
                    <a:latin typeface="Calibri"/>
                    <a:ea typeface="Calibri"/>
                    <a:cs typeface="Calibri"/>
                  </a:defRPr>
                </a:pPr>
                <a:endParaRPr lang="es-ES"/>
              </a:p>
            </c:txPr>
          </c:dispUnitsLbl>
        </c:dispUnits>
      </c:valAx>
    </c:plotArea>
    <c:legend>
      <c:legendPos val="b"/>
      <c:txPr>
        <a:bodyPr/>
        <a:lstStyle/>
        <a:p>
          <a:pPr>
            <a:defRPr sz="545" b="0" i="0" u="none" strike="noStrike" baseline="0">
              <a:solidFill>
                <a:srgbClr val="000000"/>
              </a:solidFill>
              <a:latin typeface="Calibri"/>
              <a:ea typeface="Calibri"/>
              <a:cs typeface="Calibri"/>
            </a:defRPr>
          </a:pPr>
          <a:endParaRPr lang="es-E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78" l="0.70000000000000062" r="0.70000000000000062" t="0.75000000000000078"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200" b="1" i="0" u="none" strike="noStrike" baseline="0">
                <a:solidFill>
                  <a:srgbClr val="008000"/>
                </a:solidFill>
                <a:latin typeface="Arial"/>
                <a:ea typeface="Arial"/>
                <a:cs typeface="Arial"/>
              </a:defRPr>
            </a:pPr>
            <a:r>
              <a:rPr lang="es-ES"/>
              <a:t>PIB (Millones de Balboas a precios de 1982)
DATOS  HISTORICOS</a:t>
            </a:r>
          </a:p>
        </c:rich>
      </c:tx>
      <c:layout>
        <c:manualLayout>
          <c:xMode val="edge"/>
          <c:yMode val="edge"/>
          <c:x val="0.12475838215020821"/>
          <c:y val="4.4002985865299132E-2"/>
        </c:manualLayout>
      </c:layout>
      <c:spPr>
        <a:noFill/>
        <a:ln w="25400">
          <a:noFill/>
        </a:ln>
      </c:spPr>
    </c:title>
    <c:plotArea>
      <c:layout>
        <c:manualLayout>
          <c:layoutTarget val="inner"/>
          <c:xMode val="edge"/>
          <c:yMode val="edge"/>
          <c:x val="0.17803914426801151"/>
          <c:y val="0.22616533025114979"/>
          <c:w val="0.75053215994083056"/>
          <c:h val="0.57030171687254694"/>
        </c:manualLayout>
      </c:layout>
      <c:lineChart>
        <c:grouping val="standard"/>
        <c:ser>
          <c:idx val="1"/>
          <c:order val="0"/>
          <c:tx>
            <c:strRef>
              <c:f>'13-PIB-Pesimista Base-1982'!$B$6</c:f>
              <c:strCache>
                <c:ptCount val="1"/>
                <c:pt idx="0">
                  <c:v>PIB REAL</c:v>
                </c:pt>
              </c:strCache>
            </c:strRef>
          </c:tx>
          <c:spPr>
            <a:ln w="38100">
              <a:solidFill>
                <a:srgbClr val="FF0000"/>
              </a:solidFill>
              <a:prstDash val="solid"/>
            </a:ln>
          </c:spPr>
          <c:marker>
            <c:symbol val="none"/>
          </c:marker>
          <c:trendline>
            <c:spPr>
              <a:ln w="38100">
                <a:solidFill>
                  <a:srgbClr val="000000"/>
                </a:solidFill>
                <a:prstDash val="solid"/>
              </a:ln>
            </c:spPr>
            <c:trendlineType val="poly"/>
            <c:order val="2"/>
            <c:dispRSqr val="1"/>
            <c:trendlineLbl>
              <c:layout>
                <c:manualLayout>
                  <c:x val="-6.8043591580225563E-2"/>
                  <c:y val="-4.7086681664167032E-2"/>
                </c:manualLayout>
              </c:layout>
              <c:tx>
                <c:rich>
                  <a:bodyPr/>
                  <a:lstStyle/>
                  <a:p>
                    <a:pPr>
                      <a:defRPr sz="825" b="1" i="0" u="none" strike="noStrike" baseline="0">
                        <a:solidFill>
                          <a:srgbClr val="008000"/>
                        </a:solidFill>
                        <a:latin typeface="Arial"/>
                        <a:ea typeface="Arial"/>
                        <a:cs typeface="Arial"/>
                      </a:defRPr>
                    </a:pPr>
                    <a:r>
                      <a:rPr lang="es-ES" sz="825" b="1" i="0" strike="noStrike">
                        <a:solidFill>
                          <a:srgbClr val="008000"/>
                        </a:solidFill>
                        <a:latin typeface="Arial"/>
                        <a:cs typeface="Arial"/>
                      </a:rPr>
                      <a:t>R</a:t>
                    </a:r>
                    <a:r>
                      <a:rPr lang="es-ES" sz="825" b="1" i="0" strike="noStrike" baseline="30000">
                        <a:solidFill>
                          <a:srgbClr val="008000"/>
                        </a:solidFill>
                        <a:latin typeface="Arial"/>
                        <a:cs typeface="Arial"/>
                      </a:rPr>
                      <a:t>2</a:t>
                    </a:r>
                    <a:r>
                      <a:rPr lang="es-ES" sz="825" b="1" i="0" strike="noStrike">
                        <a:solidFill>
                          <a:srgbClr val="008000"/>
                        </a:solidFill>
                        <a:latin typeface="Arial"/>
                        <a:cs typeface="Arial"/>
                      </a:rPr>
                      <a:t> = 0.8735</a:t>
                    </a:r>
                  </a:p>
                </c:rich>
              </c:tx>
              <c:numFmt formatCode="General" sourceLinked="0"/>
              <c:spPr>
                <a:noFill/>
                <a:ln w="25400">
                  <a:noFill/>
                </a:ln>
              </c:spPr>
            </c:trendlineLbl>
          </c:trendline>
          <c:cat>
            <c:numRef>
              <c:f>'13-PIB-Pesimista Base-1982'!$A$7:$A$49</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'13-PIB-Pesimista Base-1982'!$B$7:$B$49</c:f>
              <c:numCache>
                <c:formatCode>_-* #,##0_-;\-* #,##0_-;_-* "-"??_-;_-@_-</c:formatCode>
                <c:ptCount val="43"/>
                <c:pt idx="0">
                  <c:v>2351.4156921131657</c:v>
                </c:pt>
                <c:pt idx="1">
                  <c:v>2577.6500691901069</c:v>
                </c:pt>
                <c:pt idx="2">
                  <c:v>2689.0848543566476</c:v>
                </c:pt>
                <c:pt idx="3">
                  <c:v>2823.437834166356</c:v>
                </c:pt>
                <c:pt idx="4">
                  <c:v>2903.6383679935257</c:v>
                </c:pt>
                <c:pt idx="5">
                  <c:v>2910.1245026717997</c:v>
                </c:pt>
                <c:pt idx="6">
                  <c:v>2949.1723957981726</c:v>
                </c:pt>
                <c:pt idx="7">
                  <c:v>2985.6550172110965</c:v>
                </c:pt>
                <c:pt idx="8">
                  <c:v>3300.2084216849612</c:v>
                </c:pt>
                <c:pt idx="9">
                  <c:v>3453.0450719817218</c:v>
                </c:pt>
                <c:pt idx="10">
                  <c:v>4141.5</c:v>
                </c:pt>
                <c:pt idx="11">
                  <c:v>4522.8</c:v>
                </c:pt>
                <c:pt idx="12">
                  <c:v>4764.7</c:v>
                </c:pt>
                <c:pt idx="13">
                  <c:v>4550.7000000000007</c:v>
                </c:pt>
                <c:pt idx="14">
                  <c:v>4674.0000000000009</c:v>
                </c:pt>
                <c:pt idx="15">
                  <c:v>4905.0000000000009</c:v>
                </c:pt>
                <c:pt idx="16">
                  <c:v>5080.0000000000009</c:v>
                </c:pt>
                <c:pt idx="17">
                  <c:v>4988.1000000000004</c:v>
                </c:pt>
                <c:pt idx="18">
                  <c:v>4320.7</c:v>
                </c:pt>
                <c:pt idx="19">
                  <c:v>4388.2000000000007</c:v>
                </c:pt>
                <c:pt idx="20">
                  <c:v>4743.6000000000013</c:v>
                </c:pt>
                <c:pt idx="21">
                  <c:v>5190.4000000000005</c:v>
                </c:pt>
                <c:pt idx="22">
                  <c:v>5616.1</c:v>
                </c:pt>
                <c:pt idx="23">
                  <c:v>5922.5</c:v>
                </c:pt>
                <c:pt idx="24">
                  <c:v>6091.3</c:v>
                </c:pt>
                <c:pt idx="25">
                  <c:v>6198</c:v>
                </c:pt>
                <c:pt idx="26">
                  <c:v>6372.2000000000007</c:v>
                </c:pt>
                <c:pt idx="27">
                  <c:v>6807.2766047027162</c:v>
                </c:pt>
                <c:pt idx="28">
                  <c:v>6947.1999999999989</c:v>
                </c:pt>
                <c:pt idx="29">
                  <c:v>7169.9000000000005</c:v>
                </c:pt>
                <c:pt idx="30">
                  <c:v>7345.6999999999989</c:v>
                </c:pt>
                <c:pt idx="31">
                  <c:v>7372.61010719755</c:v>
                </c:pt>
                <c:pt idx="32">
                  <c:v>7682.2686741081388</c:v>
                </c:pt>
                <c:pt idx="33">
                  <c:v>7881.9392110616636</c:v>
                </c:pt>
                <c:pt idx="34">
                  <c:v>8373.9903204816346</c:v>
                </c:pt>
                <c:pt idx="35">
                  <c:v>9081.422412048847</c:v>
                </c:pt>
                <c:pt idx="36">
                  <c:v>9788.3682028639505</c:v>
                </c:pt>
                <c:pt idx="37">
                  <c:v>11002.804099426618</c:v>
                </c:pt>
                <c:pt idx="38">
                  <c:v>12132.014935933918</c:v>
                </c:pt>
                <c:pt idx="39">
                  <c:v>12529.358670555303</c:v>
                </c:pt>
                <c:pt idx="40">
                  <c:v>13523.004739279306</c:v>
                </c:pt>
                <c:pt idx="41">
                  <c:v>15092.879271304215</c:v>
                </c:pt>
                <c:pt idx="42">
                  <c:v>16502.240181051773</c:v>
                </c:pt>
              </c:numCache>
            </c:numRef>
          </c:val>
        </c:ser>
        <c:marker val="1"/>
        <c:axId val="131986560"/>
        <c:axId val="131988096"/>
      </c:lineChart>
      <c:catAx>
        <c:axId val="131986560"/>
        <c:scaling>
          <c:orientation val="minMax"/>
        </c:scaling>
        <c:axPos val="b"/>
        <c:numFmt formatCode="General" sourceLinked="1"/>
        <c:tickLblPos val="nextTo"/>
        <c:spPr>
          <a:ln w="3175">
            <a:solidFill>
              <a:srgbClr val="000000"/>
            </a:solidFill>
            <a:prstDash val="solid"/>
          </a:ln>
        </c:spPr>
        <c:txPr>
          <a:bodyPr rot="-2580000" vert="horz"/>
          <a:lstStyle/>
          <a:p>
            <a:pPr>
              <a:defRPr sz="800" b="1" i="0" u="none" strike="noStrike" baseline="0">
                <a:solidFill>
                  <a:srgbClr val="008000"/>
                </a:solidFill>
                <a:latin typeface="Arial"/>
                <a:ea typeface="Arial"/>
                <a:cs typeface="Arial"/>
              </a:defRPr>
            </a:pPr>
            <a:endParaRPr lang="es-ES"/>
          </a:p>
        </c:txPr>
        <c:crossAx val="131988096"/>
        <c:crosses val="autoZero"/>
        <c:auto val="1"/>
        <c:lblAlgn val="ctr"/>
        <c:lblOffset val="100"/>
        <c:tickLblSkip val="3"/>
        <c:tickMarkSkip val="1"/>
      </c:catAx>
      <c:valAx>
        <c:axId val="131988096"/>
        <c:scaling>
          <c:orientation val="minMax"/>
          <c:max val="20000"/>
        </c:scaling>
        <c:axPos val="l"/>
        <c:majorGridlines>
          <c:spPr>
            <a:ln w="12700">
              <a:solidFill>
                <a:srgbClr val="FF9900"/>
              </a:solidFill>
              <a:prstDash val="solid"/>
            </a:ln>
          </c:spPr>
        </c:majorGridlines>
        <c:numFmt formatCode="0" sourceLinked="0"/>
        <c:majorTickMark val="in"/>
        <c:minorTickMark val="in"/>
        <c:tickLblPos val="low"/>
        <c:spPr>
          <a:ln w="3175">
            <a:solidFill>
              <a:srgbClr val="000000"/>
            </a:solidFill>
            <a:prstDash val="solid"/>
          </a:ln>
        </c:spPr>
        <c:txPr>
          <a:bodyPr rot="0" vert="horz"/>
          <a:lstStyle/>
          <a:p>
            <a:pPr>
              <a:defRPr sz="1000" b="1" i="0" u="none" strike="noStrike" baseline="0">
                <a:solidFill>
                  <a:srgbClr val="008000"/>
                </a:solidFill>
                <a:latin typeface="Arial"/>
                <a:ea typeface="Arial"/>
                <a:cs typeface="Arial"/>
              </a:defRPr>
            </a:pPr>
            <a:endParaRPr lang="es-ES"/>
          </a:p>
        </c:txPr>
        <c:crossAx val="131986560"/>
        <c:crosses val="autoZero"/>
        <c:crossBetween val="between"/>
        <c:majorUnit val="5000"/>
        <c:minorUnit val="1000"/>
      </c:valAx>
      <c:spPr>
        <a:gradFill rotWithShape="0">
          <a:gsLst>
            <a:gs pos="0">
              <a:srgbClr val="CCFFCC"/>
            </a:gs>
            <a:gs pos="100000">
              <a:srgbClr val="CCFFFF"/>
            </a:gs>
          </a:gsLst>
          <a:lin ang="5400000" scaled="1"/>
        </a:gradFill>
        <a:ln w="12700">
          <a:solidFill>
            <a:srgbClr val="008000"/>
          </a:solidFill>
          <a:prstDash val="solid"/>
        </a:ln>
      </c:spPr>
    </c:plotArea>
    <c:legend>
      <c:legendPos val="r"/>
      <c:legendEntry>
        <c:idx val="0"/>
        <c:txPr>
          <a:bodyPr/>
          <a:lstStyle/>
          <a:p>
            <a:pPr>
              <a:defRPr sz="735" b="1" i="0" u="none" strike="noStrike" baseline="0">
                <a:solidFill>
                  <a:srgbClr val="008000"/>
                </a:solidFill>
                <a:latin typeface="Arial"/>
                <a:ea typeface="Arial"/>
                <a:cs typeface="Arial"/>
              </a:defRPr>
            </a:pPr>
            <a:endParaRPr lang="es-ES"/>
          </a:p>
        </c:txPr>
      </c:legendEntry>
      <c:legendEntry>
        <c:idx val="1"/>
        <c:txPr>
          <a:bodyPr/>
          <a:lstStyle/>
          <a:p>
            <a:pPr>
              <a:defRPr sz="735" b="1" i="0" u="none" strike="noStrike" baseline="0">
                <a:solidFill>
                  <a:srgbClr val="008000"/>
                </a:solidFill>
                <a:latin typeface="Arial"/>
                <a:ea typeface="Arial"/>
                <a:cs typeface="Arial"/>
              </a:defRPr>
            </a:pPr>
            <a:endParaRPr lang="es-ES"/>
          </a:p>
        </c:txPr>
      </c:legendEntry>
      <c:layout>
        <c:manualLayout>
          <c:xMode val="edge"/>
          <c:yMode val="edge"/>
          <c:x val="0.18658892128279891"/>
          <c:y val="0.40000144676449206"/>
          <c:w val="0.38921282798834456"/>
          <c:h val="0.10370407879079424"/>
        </c:manualLayout>
      </c:layout>
      <c:spPr>
        <a:gradFill rotWithShape="0">
          <a:gsLst>
            <a:gs pos="0">
              <a:srgbClr val="CCFFCC"/>
            </a:gs>
            <a:gs pos="100000">
              <a:srgbClr val="CCFFCC"/>
            </a:gs>
          </a:gsLst>
          <a:lin ang="5400000" scaled="1"/>
        </a:gradFill>
        <a:ln w="25400">
          <a:noFill/>
        </a:ln>
      </c:spPr>
      <c:txPr>
        <a:bodyPr/>
        <a:lstStyle/>
        <a:p>
          <a:pPr>
            <a:defRPr sz="735" b="0" i="0" u="none" strike="noStrike" baseline="0">
              <a:solidFill>
                <a:srgbClr val="008000"/>
              </a:solidFill>
              <a:latin typeface="Arial"/>
              <a:ea typeface="Arial"/>
              <a:cs typeface="Arial"/>
            </a:defRPr>
          </a:pPr>
          <a:endParaRPr lang="es-ES"/>
        </a:p>
      </c:txPr>
    </c:legend>
    <c:plotVisOnly val="1"/>
    <c:dispBlanksAs val="gap"/>
  </c:chart>
  <c:spPr>
    <a:solidFill>
      <a:srgbClr val="CCFFCC"/>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000000000000766" r="0.75000000000000766" t="1" header="0" footer="0"/>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550" b="1" i="0" u="none" strike="noStrike" baseline="0">
                <a:solidFill>
                  <a:srgbClr val="000000"/>
                </a:solidFill>
                <a:latin typeface="Arial"/>
                <a:ea typeface="Arial"/>
                <a:cs typeface="Arial"/>
              </a:defRPr>
            </a:pPr>
            <a:r>
              <a:rPr lang="es-ES"/>
              <a:t>Factor de Carga y
 Energía Electrica Disponible</a:t>
            </a:r>
          </a:p>
        </c:rich>
      </c:tx>
      <c:layout>
        <c:manualLayout>
          <c:xMode val="edge"/>
          <c:yMode val="edge"/>
          <c:x val="0.26332811791095501"/>
          <c:y val="1.524390243902439E-2"/>
        </c:manualLayout>
      </c:layout>
      <c:spPr>
        <a:noFill/>
        <a:ln w="25400">
          <a:noFill/>
        </a:ln>
      </c:spPr>
    </c:title>
    <c:plotArea>
      <c:layout>
        <c:manualLayout>
          <c:layoutTarget val="inner"/>
          <c:xMode val="edge"/>
          <c:yMode val="edge"/>
          <c:x val="0.1276253026123462"/>
          <c:y val="0.23170766200764281"/>
          <c:w val="0.76575181567409667"/>
          <c:h val="0.63414728549460164"/>
        </c:manualLayout>
      </c:layout>
      <c:lineChart>
        <c:grouping val="standard"/>
        <c:ser>
          <c:idx val="2"/>
          <c:order val="1"/>
          <c:tx>
            <c:strRef>
              <c:f>'15-FactorCarga-PronosLineal'!$D$3</c:f>
              <c:strCache>
                <c:ptCount val="1"/>
                <c:pt idx="0">
                  <c:v>EE</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'15-FactorCarga-PronosLineal'!$A$5:$A$47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'15-FactorCarga-PronosLineal'!$D$5:$D$47</c:f>
              <c:numCache>
                <c:formatCode>0.0</c:formatCode>
                <c:ptCount val="43"/>
                <c:pt idx="0">
                  <c:v>801.7</c:v>
                </c:pt>
                <c:pt idx="1">
                  <c:v>859.4</c:v>
                </c:pt>
                <c:pt idx="2">
                  <c:v>980.4</c:v>
                </c:pt>
                <c:pt idx="3">
                  <c:v>1139.9000000000001</c:v>
                </c:pt>
                <c:pt idx="4">
                  <c:v>1148</c:v>
                </c:pt>
                <c:pt idx="5">
                  <c:v>1214.3</c:v>
                </c:pt>
                <c:pt idx="6">
                  <c:v>1348.7</c:v>
                </c:pt>
                <c:pt idx="7">
                  <c:v>1450.3</c:v>
                </c:pt>
                <c:pt idx="8">
                  <c:v>1469.1</c:v>
                </c:pt>
                <c:pt idx="9">
                  <c:v>1724</c:v>
                </c:pt>
                <c:pt idx="10">
                  <c:v>1756.5</c:v>
                </c:pt>
                <c:pt idx="11">
                  <c:v>1863.5</c:v>
                </c:pt>
                <c:pt idx="12">
                  <c:v>2030.5</c:v>
                </c:pt>
                <c:pt idx="13">
                  <c:v>2193.5</c:v>
                </c:pt>
                <c:pt idx="14">
                  <c:v>2225.9</c:v>
                </c:pt>
                <c:pt idx="15">
                  <c:v>2412.9</c:v>
                </c:pt>
                <c:pt idx="16">
                  <c:v>2565.6999999999998</c:v>
                </c:pt>
                <c:pt idx="17">
                  <c:v>2748.3</c:v>
                </c:pt>
                <c:pt idx="18">
                  <c:v>2579.9</c:v>
                </c:pt>
                <c:pt idx="19">
                  <c:v>2624.7</c:v>
                </c:pt>
                <c:pt idx="20">
                  <c:v>2746.1</c:v>
                </c:pt>
                <c:pt idx="21">
                  <c:v>2896.6</c:v>
                </c:pt>
                <c:pt idx="22">
                  <c:v>3011.6</c:v>
                </c:pt>
                <c:pt idx="23">
                  <c:v>3199.1</c:v>
                </c:pt>
                <c:pt idx="24">
                  <c:v>3400</c:v>
                </c:pt>
                <c:pt idx="25">
                  <c:v>3619.4</c:v>
                </c:pt>
                <c:pt idx="26">
                  <c:v>3795.8</c:v>
                </c:pt>
                <c:pt idx="27">
                  <c:v>4254.3999999999996</c:v>
                </c:pt>
                <c:pt idx="28">
                  <c:v>4295.8</c:v>
                </c:pt>
                <c:pt idx="29">
                  <c:v>4474.5</c:v>
                </c:pt>
                <c:pt idx="30">
                  <c:v>4967.5</c:v>
                </c:pt>
                <c:pt idx="31">
                  <c:v>4999.8999999999996</c:v>
                </c:pt>
                <c:pt idx="32">
                  <c:v>5221.7</c:v>
                </c:pt>
                <c:pt idx="33">
                  <c:v>5342.6</c:v>
                </c:pt>
                <c:pt idx="34">
                  <c:v>5571</c:v>
                </c:pt>
                <c:pt idx="35">
                  <c:v>5711</c:v>
                </c:pt>
                <c:pt idx="36">
                  <c:v>5861.3</c:v>
                </c:pt>
                <c:pt idx="37">
                  <c:v>6208.8</c:v>
                </c:pt>
                <c:pt idx="38">
                  <c:v>6386.4</c:v>
                </c:pt>
                <c:pt idx="39">
                  <c:v>6753.7</c:v>
                </c:pt>
                <c:pt idx="40">
                  <c:v>7299.45</c:v>
                </c:pt>
                <c:pt idx="41">
                  <c:v>7290.3</c:v>
                </c:pt>
                <c:pt idx="42">
                  <c:v>7609.6936915858605</c:v>
                </c:pt>
              </c:numCache>
            </c:numRef>
          </c:val>
        </c:ser>
        <c:marker val="1"/>
        <c:axId val="132071424"/>
        <c:axId val="132072960"/>
      </c:lineChart>
      <c:lineChart>
        <c:grouping val="standard"/>
        <c:ser>
          <c:idx val="1"/>
          <c:order val="0"/>
          <c:tx>
            <c:strRef>
              <c:f>'15-FactorCarga-PronosLineal'!$B$3</c:f>
              <c:strCache>
                <c:ptCount val="1"/>
                <c:pt idx="0">
                  <c:v>FC</c:v>
                </c:pt>
              </c:strCache>
            </c:strRef>
          </c:tx>
          <c:spPr>
            <a:ln w="38100">
              <a:solidFill>
                <a:srgbClr val="FF0000"/>
              </a:solidFill>
              <a:prstDash val="solid"/>
            </a:ln>
          </c:spPr>
          <c:marker>
            <c:symbol val="none"/>
          </c:marker>
          <c:trendline>
            <c:trendlineType val="poly"/>
            <c:order val="3"/>
            <c:dispRSqr val="1"/>
            <c:trendlineLbl>
              <c:layout>
                <c:manualLayout>
                  <c:x val="-0.36266028943474504"/>
                  <c:y val="-0.14236220472440944"/>
                </c:manualLayout>
              </c:layout>
              <c:numFmt formatCode="General" sourceLinked="0"/>
              <c:txPr>
                <a:bodyPr/>
                <a:lstStyle/>
                <a:p>
                  <a:pPr>
                    <a:defRPr sz="1200" b="1" i="0" baseline="0"/>
                  </a:pPr>
                  <a:endParaRPr lang="es-ES"/>
                </a:p>
              </c:txPr>
            </c:trendlineLbl>
          </c:trendline>
          <c:cat>
            <c:numRef>
              <c:f>'15-FactorCarga-PronosLineal'!$A$5:$A$47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'15-FactorCarga-PronosLineal'!$B$5:$B$47</c:f>
              <c:numCache>
                <c:formatCode>0.0</c:formatCode>
                <c:ptCount val="43"/>
                <c:pt idx="0">
                  <c:v>65.599999999999994</c:v>
                </c:pt>
                <c:pt idx="1">
                  <c:v>65.7</c:v>
                </c:pt>
                <c:pt idx="2">
                  <c:v>65.8</c:v>
                </c:pt>
                <c:pt idx="3">
                  <c:v>67.400000000000006</c:v>
                </c:pt>
                <c:pt idx="4">
                  <c:v>67.900000000000006</c:v>
                </c:pt>
                <c:pt idx="5">
                  <c:v>68.8</c:v>
                </c:pt>
                <c:pt idx="6">
                  <c:v>66.2</c:v>
                </c:pt>
                <c:pt idx="7">
                  <c:v>68.900000000000006</c:v>
                </c:pt>
                <c:pt idx="8">
                  <c:v>64.5</c:v>
                </c:pt>
                <c:pt idx="9">
                  <c:v>68.5</c:v>
                </c:pt>
                <c:pt idx="10">
                  <c:v>65.5</c:v>
                </c:pt>
                <c:pt idx="11">
                  <c:v>66.5</c:v>
                </c:pt>
                <c:pt idx="12">
                  <c:v>63.9</c:v>
                </c:pt>
                <c:pt idx="13">
                  <c:v>66.8</c:v>
                </c:pt>
                <c:pt idx="14">
                  <c:v>65.7</c:v>
                </c:pt>
                <c:pt idx="15">
                  <c:v>64.900000000000006</c:v>
                </c:pt>
                <c:pt idx="16">
                  <c:v>67.900000000000006</c:v>
                </c:pt>
                <c:pt idx="17">
                  <c:v>66.099999999999994</c:v>
                </c:pt>
                <c:pt idx="18">
                  <c:v>62.4</c:v>
                </c:pt>
                <c:pt idx="19">
                  <c:v>67.2</c:v>
                </c:pt>
                <c:pt idx="20">
                  <c:v>67.5</c:v>
                </c:pt>
                <c:pt idx="21">
                  <c:v>67.7</c:v>
                </c:pt>
                <c:pt idx="22">
                  <c:v>66.2</c:v>
                </c:pt>
                <c:pt idx="23">
                  <c:v>67.5</c:v>
                </c:pt>
                <c:pt idx="24">
                  <c:v>65.599999999999994</c:v>
                </c:pt>
                <c:pt idx="25">
                  <c:v>66.7</c:v>
                </c:pt>
                <c:pt idx="26">
                  <c:v>67.5</c:v>
                </c:pt>
                <c:pt idx="27">
                  <c:v>68.7</c:v>
                </c:pt>
                <c:pt idx="28">
                  <c:v>67.5</c:v>
                </c:pt>
                <c:pt idx="29">
                  <c:v>67.7</c:v>
                </c:pt>
                <c:pt idx="30">
                  <c:v>73</c:v>
                </c:pt>
                <c:pt idx="31">
                  <c:v>69.920965353748414</c:v>
                </c:pt>
                <c:pt idx="32">
                  <c:v>71.483243978251636</c:v>
                </c:pt>
                <c:pt idx="33">
                  <c:v>70.767195556944429</c:v>
                </c:pt>
                <c:pt idx="34">
                  <c:v>70.438263308773116</c:v>
                </c:pt>
                <c:pt idx="35">
                  <c:v>70.612897696142625</c:v>
                </c:pt>
                <c:pt idx="36">
                  <c:v>70.526411745929423</c:v>
                </c:pt>
                <c:pt idx="37">
                  <c:v>70.779037257351973</c:v>
                </c:pt>
                <c:pt idx="38">
                  <c:v>70.626407933195551</c:v>
                </c:pt>
                <c:pt idx="39">
                  <c:v>68.714544660353766</c:v>
                </c:pt>
                <c:pt idx="40">
                  <c:v>69.911460634850499</c:v>
                </c:pt>
                <c:pt idx="41">
                  <c:v>70.274375184592515</c:v>
                </c:pt>
                <c:pt idx="42">
                  <c:v>71.368597114281513</c:v>
                </c:pt>
              </c:numCache>
            </c:numRef>
          </c:val>
        </c:ser>
        <c:marker val="1"/>
        <c:axId val="132074880"/>
        <c:axId val="132080768"/>
      </c:lineChart>
      <c:catAx>
        <c:axId val="132071424"/>
        <c:scaling>
          <c:orientation val="minMax"/>
        </c:scaling>
        <c:axPos val="b"/>
        <c:numFmt formatCode="General" sourceLinked="1"/>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s-ES"/>
          </a:p>
        </c:txPr>
        <c:crossAx val="132072960"/>
        <c:crosses val="autoZero"/>
        <c:auto val="1"/>
        <c:lblAlgn val="ctr"/>
        <c:lblOffset val="100"/>
        <c:tickLblSkip val="2"/>
        <c:tickMarkSkip val="1"/>
      </c:catAx>
      <c:valAx>
        <c:axId val="132072960"/>
        <c:scaling>
          <c:orientation val="minMax"/>
        </c:scaling>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s-ES"/>
                  <a:t>Energía (GWh)</a:t>
                </a:r>
              </a:p>
            </c:rich>
          </c:tx>
          <c:layout>
            <c:manualLayout>
              <c:xMode val="edge"/>
              <c:yMode val="edge"/>
              <c:x val="8.0775444264944048E-3"/>
              <c:y val="0.26524422252096524"/>
            </c:manualLayout>
          </c:layout>
          <c:spPr>
            <a:noFill/>
            <a:ln w="25400">
              <a:noFill/>
            </a:ln>
          </c:spPr>
        </c:title>
        <c:numFmt formatCode="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32071424"/>
        <c:crosses val="autoZero"/>
        <c:crossBetween val="between"/>
      </c:valAx>
      <c:catAx>
        <c:axId val="132074880"/>
        <c:scaling>
          <c:orientation val="minMax"/>
        </c:scaling>
        <c:delete val="1"/>
        <c:axPos val="b"/>
        <c:numFmt formatCode="General" sourceLinked="1"/>
        <c:tickLblPos val="none"/>
        <c:crossAx val="132080768"/>
        <c:crosses val="autoZero"/>
        <c:auto val="1"/>
        <c:lblAlgn val="ctr"/>
        <c:lblOffset val="100"/>
      </c:catAx>
      <c:valAx>
        <c:axId val="132080768"/>
        <c:scaling>
          <c:orientation val="minMax"/>
        </c:scaling>
        <c:axPos val="r"/>
        <c:title>
          <c:tx>
            <c:rich>
              <a:bodyPr/>
              <a:lstStyle/>
              <a:p>
                <a:pPr>
                  <a:defRPr sz="1200" b="1" i="0" u="none" strike="noStrike" baseline="0">
                    <a:solidFill>
                      <a:srgbClr val="000000"/>
                    </a:solidFill>
                    <a:latin typeface="Arial"/>
                    <a:ea typeface="Arial"/>
                    <a:cs typeface="Arial"/>
                  </a:defRPr>
                </a:pPr>
                <a:r>
                  <a:rPr lang="es-ES"/>
                  <a:t>FC (%)</a:t>
                </a:r>
              </a:p>
            </c:rich>
          </c:tx>
          <c:layout>
            <c:manualLayout>
              <c:xMode val="edge"/>
              <c:yMode val="edge"/>
              <c:x val="0.94668888521406569"/>
              <c:y val="0.39024454260290631"/>
            </c:manualLayout>
          </c:layout>
          <c:spPr>
            <a:noFill/>
            <a:ln w="25400">
              <a:noFill/>
            </a:ln>
          </c:spPr>
        </c:title>
        <c:numFmt formatCode="0.0" sourceLinked="1"/>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32074880"/>
        <c:crosses val="max"/>
        <c:crossBetween val="between"/>
      </c:valAx>
      <c:spPr>
        <a:gradFill>
          <a:gsLst>
            <a:gs pos="0">
              <a:srgbClr val="5E9EFF"/>
            </a:gs>
            <a:gs pos="39999">
              <a:srgbClr val="85C2FF"/>
            </a:gs>
            <a:gs pos="70000">
              <a:srgbClr val="C4D6EB"/>
            </a:gs>
            <a:gs pos="100000">
              <a:srgbClr val="FFEBFA"/>
            </a:gs>
          </a:gsLst>
          <a:lin ang="5400000" scaled="0"/>
        </a:gradFill>
        <a:ln w="12700">
          <a:solidFill>
            <a:srgbClr val="808080"/>
          </a:solidFill>
          <a:prstDash val="solid"/>
        </a:ln>
      </c:spPr>
    </c:plotArea>
    <c:legend>
      <c:legendPos val="r"/>
      <c:layout>
        <c:manualLayout>
          <c:xMode val="edge"/>
          <c:yMode val="edge"/>
          <c:x val="0.34679641619918672"/>
          <c:y val="0.72561071634338936"/>
          <c:w val="0.50996247439990838"/>
          <c:h val="9.9593816016900344E-2"/>
        </c:manualLayout>
      </c:layout>
      <c:spPr>
        <a:noFill/>
        <a:ln w="3175">
          <a:noFill/>
          <a:prstDash val="solid"/>
        </a:ln>
      </c:spPr>
      <c:txPr>
        <a:bodyPr/>
        <a:lstStyle/>
        <a:p>
          <a:pPr>
            <a:defRPr sz="1100" b="0" i="0" u="none" strike="noStrike" baseline="0">
              <a:solidFill>
                <a:srgbClr val="000000"/>
              </a:solidFill>
              <a:latin typeface="Arial"/>
              <a:ea typeface="Arial"/>
              <a:cs typeface="Arial"/>
            </a:defRPr>
          </a:pPr>
          <a:endParaRPr lang="es-ES"/>
        </a:p>
      </c:txPr>
    </c:legend>
    <c:plotVisOnly val="1"/>
    <c:dispBlanksAs val="gap"/>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a:ln w="3175">
      <a:solidFill>
        <a:srgbClr val="000000"/>
      </a:solidFill>
      <a:prstDash val="solid"/>
    </a:ln>
  </c:spPr>
  <c:txPr>
    <a:bodyPr/>
    <a:lstStyle/>
    <a:p>
      <a:pPr>
        <a:defRPr sz="1650" b="0" i="0" u="none" strike="noStrike" baseline="0">
          <a:solidFill>
            <a:srgbClr val="000000"/>
          </a:solidFill>
          <a:latin typeface="Arial"/>
          <a:ea typeface="Arial"/>
          <a:cs typeface="Arial"/>
        </a:defRPr>
      </a:pPr>
      <a:endParaRPr lang="es-ES"/>
    </a:p>
  </c:txPr>
  <c:printSettings>
    <c:headerFooter alignWithMargins="0"/>
    <c:pageMargins b="1" l="0.75000000000000655" r="0.75000000000000655" t="1" header="0" footer="0"/>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300" b="0" i="0" u="none" strike="noStrike" baseline="0">
                <a:solidFill>
                  <a:srgbClr val="000000"/>
                </a:solidFill>
                <a:latin typeface="Arial"/>
                <a:ea typeface="Arial"/>
                <a:cs typeface="Arial"/>
              </a:defRPr>
            </a:pPr>
            <a:r>
              <a:rPr lang="es-ES"/>
              <a:t>Factor de Carga</a:t>
            </a:r>
          </a:p>
        </c:rich>
      </c:tx>
      <c:layout>
        <c:manualLayout>
          <c:xMode val="edge"/>
          <c:yMode val="edge"/>
          <c:x val="0.37419354838709684"/>
          <c:y val="6.9620253164556958E-2"/>
        </c:manualLayout>
      </c:layout>
      <c:spPr>
        <a:noFill/>
        <a:ln w="25400">
          <a:noFill/>
        </a:ln>
      </c:spPr>
    </c:title>
    <c:plotArea>
      <c:layout>
        <c:manualLayout>
          <c:layoutTarget val="inner"/>
          <c:xMode val="edge"/>
          <c:yMode val="edge"/>
          <c:x val="0.12580645161290321"/>
          <c:y val="0.22784845333584691"/>
          <c:w val="0.86774193548389034"/>
          <c:h val="0.48494338207724347"/>
        </c:manualLayout>
      </c:layout>
      <c:lineChart>
        <c:grouping val="standard"/>
        <c:ser>
          <c:idx val="2"/>
          <c:order val="0"/>
          <c:tx>
            <c:strRef>
              <c:f>'15-FactorCarga-PronosLineal'!$B$3</c:f>
              <c:strCache>
                <c:ptCount val="1"/>
                <c:pt idx="0">
                  <c:v>FC</c:v>
                </c:pt>
              </c:strCache>
            </c:strRef>
          </c:tx>
          <c:spPr>
            <a:ln w="12700">
              <a:solidFill>
                <a:srgbClr val="00B050"/>
              </a:solidFill>
              <a:prstDash val="solid"/>
            </a:ln>
          </c:spPr>
          <c:marker>
            <c:symbol val="triangle"/>
            <c:size val="5"/>
            <c:spPr>
              <a:solidFill>
                <a:srgbClr val="00B050"/>
              </a:solidFill>
              <a:ln>
                <a:solidFill>
                  <a:srgbClr val="00B050"/>
                </a:solidFill>
                <a:prstDash val="solid"/>
              </a:ln>
            </c:spPr>
          </c:marker>
          <c:trendline>
            <c:spPr>
              <a:ln w="25400">
                <a:solidFill>
                  <a:srgbClr val="000000"/>
                </a:solidFill>
                <a:prstDash val="solid"/>
              </a:ln>
            </c:spPr>
            <c:trendlineType val="linear"/>
            <c:dispRSqr val="1"/>
            <c:dispEq val="1"/>
            <c:trendlineLbl>
              <c:layout>
                <c:manualLayout>
                  <c:x val="-8.4223351113368428E-2"/>
                  <c:y val="-0.2536771741287186"/>
                </c:manualLayout>
              </c:layout>
              <c:numFmt formatCode="General" sourceLinked="0"/>
              <c:spPr>
                <a:noFill/>
                <a:ln w="25400">
                  <a:noFill/>
                </a:ln>
              </c:spPr>
              <c:txPr>
                <a:bodyPr/>
                <a:lstStyle/>
                <a:p>
                  <a:pPr>
                    <a:defRPr sz="1125" b="0" i="0" u="none" strike="noStrike" baseline="0">
                      <a:solidFill>
                        <a:srgbClr val="000000"/>
                      </a:solidFill>
                      <a:latin typeface="Arial"/>
                      <a:ea typeface="Arial"/>
                      <a:cs typeface="Arial"/>
                    </a:defRPr>
                  </a:pPr>
                  <a:endParaRPr lang="es-ES"/>
                </a:p>
              </c:txPr>
            </c:trendlineLbl>
          </c:trendline>
          <c:cat>
            <c:numRef>
              <c:f>'15-FactorCarga-PronosLineal'!$D$5:$D$47</c:f>
              <c:numCache>
                <c:formatCode>0.0</c:formatCode>
                <c:ptCount val="43"/>
                <c:pt idx="0">
                  <c:v>801.7</c:v>
                </c:pt>
                <c:pt idx="1">
                  <c:v>859.4</c:v>
                </c:pt>
                <c:pt idx="2">
                  <c:v>980.4</c:v>
                </c:pt>
                <c:pt idx="3">
                  <c:v>1139.9000000000001</c:v>
                </c:pt>
                <c:pt idx="4">
                  <c:v>1148</c:v>
                </c:pt>
                <c:pt idx="5">
                  <c:v>1214.3</c:v>
                </c:pt>
                <c:pt idx="6">
                  <c:v>1348.7</c:v>
                </c:pt>
                <c:pt idx="7">
                  <c:v>1450.3</c:v>
                </c:pt>
                <c:pt idx="8">
                  <c:v>1469.1</c:v>
                </c:pt>
                <c:pt idx="9">
                  <c:v>1724</c:v>
                </c:pt>
                <c:pt idx="10">
                  <c:v>1756.5</c:v>
                </c:pt>
                <c:pt idx="11">
                  <c:v>1863.5</c:v>
                </c:pt>
                <c:pt idx="12">
                  <c:v>2030.5</c:v>
                </c:pt>
                <c:pt idx="13">
                  <c:v>2193.5</c:v>
                </c:pt>
                <c:pt idx="14">
                  <c:v>2225.9</c:v>
                </c:pt>
                <c:pt idx="15">
                  <c:v>2412.9</c:v>
                </c:pt>
                <c:pt idx="16">
                  <c:v>2565.6999999999998</c:v>
                </c:pt>
                <c:pt idx="17">
                  <c:v>2748.3</c:v>
                </c:pt>
                <c:pt idx="18">
                  <c:v>2579.9</c:v>
                </c:pt>
                <c:pt idx="19">
                  <c:v>2624.7</c:v>
                </c:pt>
                <c:pt idx="20">
                  <c:v>2746.1</c:v>
                </c:pt>
                <c:pt idx="21">
                  <c:v>2896.6</c:v>
                </c:pt>
                <c:pt idx="22">
                  <c:v>3011.6</c:v>
                </c:pt>
                <c:pt idx="23">
                  <c:v>3199.1</c:v>
                </c:pt>
                <c:pt idx="24">
                  <c:v>3400</c:v>
                </c:pt>
                <c:pt idx="25">
                  <c:v>3619.4</c:v>
                </c:pt>
                <c:pt idx="26">
                  <c:v>3795.8</c:v>
                </c:pt>
                <c:pt idx="27">
                  <c:v>4254.3999999999996</c:v>
                </c:pt>
                <c:pt idx="28">
                  <c:v>4295.8</c:v>
                </c:pt>
                <c:pt idx="29">
                  <c:v>4474.5</c:v>
                </c:pt>
                <c:pt idx="30">
                  <c:v>4967.5</c:v>
                </c:pt>
                <c:pt idx="31">
                  <c:v>4999.8999999999996</c:v>
                </c:pt>
                <c:pt idx="32">
                  <c:v>5221.7</c:v>
                </c:pt>
                <c:pt idx="33">
                  <c:v>5342.6</c:v>
                </c:pt>
                <c:pt idx="34">
                  <c:v>5571</c:v>
                </c:pt>
                <c:pt idx="35">
                  <c:v>5711</c:v>
                </c:pt>
                <c:pt idx="36">
                  <c:v>5861.3</c:v>
                </c:pt>
                <c:pt idx="37">
                  <c:v>6208.8</c:v>
                </c:pt>
                <c:pt idx="38">
                  <c:v>6386.4</c:v>
                </c:pt>
                <c:pt idx="39">
                  <c:v>6753.7</c:v>
                </c:pt>
                <c:pt idx="40">
                  <c:v>7299.45</c:v>
                </c:pt>
                <c:pt idx="41">
                  <c:v>7290.3</c:v>
                </c:pt>
                <c:pt idx="42">
                  <c:v>7609.6936915858605</c:v>
                </c:pt>
              </c:numCache>
            </c:numRef>
          </c:cat>
          <c:val>
            <c:numRef>
              <c:f>'15-FactorCarga-PronosLineal'!$B$5:$B$47</c:f>
              <c:numCache>
                <c:formatCode>0.0</c:formatCode>
                <c:ptCount val="43"/>
                <c:pt idx="0">
                  <c:v>65.599999999999994</c:v>
                </c:pt>
                <c:pt idx="1">
                  <c:v>65.7</c:v>
                </c:pt>
                <c:pt idx="2">
                  <c:v>65.8</c:v>
                </c:pt>
                <c:pt idx="3">
                  <c:v>67.400000000000006</c:v>
                </c:pt>
                <c:pt idx="4">
                  <c:v>67.900000000000006</c:v>
                </c:pt>
                <c:pt idx="5">
                  <c:v>68.8</c:v>
                </c:pt>
                <c:pt idx="6">
                  <c:v>66.2</c:v>
                </c:pt>
                <c:pt idx="7">
                  <c:v>68.900000000000006</c:v>
                </c:pt>
                <c:pt idx="8">
                  <c:v>64.5</c:v>
                </c:pt>
                <c:pt idx="9">
                  <c:v>68.5</c:v>
                </c:pt>
                <c:pt idx="10">
                  <c:v>65.5</c:v>
                </c:pt>
                <c:pt idx="11">
                  <c:v>66.5</c:v>
                </c:pt>
                <c:pt idx="12">
                  <c:v>63.9</c:v>
                </c:pt>
                <c:pt idx="13">
                  <c:v>66.8</c:v>
                </c:pt>
                <c:pt idx="14">
                  <c:v>65.7</c:v>
                </c:pt>
                <c:pt idx="15">
                  <c:v>64.900000000000006</c:v>
                </c:pt>
                <c:pt idx="16">
                  <c:v>67.900000000000006</c:v>
                </c:pt>
                <c:pt idx="17">
                  <c:v>66.099999999999994</c:v>
                </c:pt>
                <c:pt idx="18">
                  <c:v>62.4</c:v>
                </c:pt>
                <c:pt idx="19">
                  <c:v>67.2</c:v>
                </c:pt>
                <c:pt idx="20">
                  <c:v>67.5</c:v>
                </c:pt>
                <c:pt idx="21">
                  <c:v>67.7</c:v>
                </c:pt>
                <c:pt idx="22">
                  <c:v>66.2</c:v>
                </c:pt>
                <c:pt idx="23">
                  <c:v>67.5</c:v>
                </c:pt>
                <c:pt idx="24">
                  <c:v>65.599999999999994</c:v>
                </c:pt>
                <c:pt idx="25">
                  <c:v>66.7</c:v>
                </c:pt>
                <c:pt idx="26">
                  <c:v>67.5</c:v>
                </c:pt>
                <c:pt idx="27">
                  <c:v>68.7</c:v>
                </c:pt>
                <c:pt idx="28">
                  <c:v>67.5</c:v>
                </c:pt>
                <c:pt idx="29">
                  <c:v>67.7</c:v>
                </c:pt>
                <c:pt idx="30">
                  <c:v>73</c:v>
                </c:pt>
                <c:pt idx="31">
                  <c:v>69.920965353748414</c:v>
                </c:pt>
                <c:pt idx="32">
                  <c:v>71.483243978251636</c:v>
                </c:pt>
                <c:pt idx="33">
                  <c:v>70.767195556944429</c:v>
                </c:pt>
                <c:pt idx="34">
                  <c:v>70.438263308773116</c:v>
                </c:pt>
                <c:pt idx="35">
                  <c:v>70.612897696142625</c:v>
                </c:pt>
                <c:pt idx="36">
                  <c:v>70.526411745929423</c:v>
                </c:pt>
                <c:pt idx="37">
                  <c:v>70.779037257351973</c:v>
                </c:pt>
                <c:pt idx="38">
                  <c:v>70.626407933195551</c:v>
                </c:pt>
                <c:pt idx="39">
                  <c:v>68.714544660353766</c:v>
                </c:pt>
                <c:pt idx="40">
                  <c:v>69.911460634850499</c:v>
                </c:pt>
                <c:pt idx="41">
                  <c:v>70.274375184592515</c:v>
                </c:pt>
                <c:pt idx="42">
                  <c:v>71.368597114281513</c:v>
                </c:pt>
              </c:numCache>
            </c:numRef>
          </c:val>
        </c:ser>
        <c:marker val="1"/>
        <c:axId val="132323968"/>
        <c:axId val="132334336"/>
      </c:lineChart>
      <c:catAx>
        <c:axId val="132323968"/>
        <c:scaling>
          <c:orientation val="minMax"/>
        </c:scaling>
        <c:axPos val="b"/>
        <c:title>
          <c:tx>
            <c:rich>
              <a:bodyPr/>
              <a:lstStyle/>
              <a:p>
                <a:pPr>
                  <a:defRPr sz="1125" b="0" i="0" u="none" strike="noStrike" baseline="0">
                    <a:solidFill>
                      <a:srgbClr val="000000"/>
                    </a:solidFill>
                    <a:latin typeface="Arial"/>
                    <a:ea typeface="Arial"/>
                    <a:cs typeface="Arial"/>
                  </a:defRPr>
                </a:pPr>
                <a:r>
                  <a:rPr lang="es-ES"/>
                  <a:t>Energía Eléctrica Disponible</a:t>
                </a:r>
              </a:p>
            </c:rich>
          </c:tx>
          <c:layout>
            <c:manualLayout>
              <c:xMode val="edge"/>
              <c:yMode val="edge"/>
              <c:x val="0.40806451612903238"/>
              <c:y val="0.90822917704907902"/>
            </c:manualLayout>
          </c:layout>
          <c:spPr>
            <a:noFill/>
            <a:ln w="25400">
              <a:noFill/>
            </a:ln>
          </c:spPr>
        </c:title>
        <c:numFmt formatCode="0.0" sourceLinked="1"/>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s-ES"/>
          </a:p>
        </c:txPr>
        <c:crossAx val="132334336"/>
        <c:crosses val="autoZero"/>
        <c:auto val="1"/>
        <c:lblAlgn val="ctr"/>
        <c:lblOffset val="100"/>
        <c:tickLblSkip val="2"/>
        <c:tickMarkSkip val="1"/>
      </c:catAx>
      <c:valAx>
        <c:axId val="132334336"/>
        <c:scaling>
          <c:orientation val="minMax"/>
        </c:scaling>
        <c:axPos val="l"/>
        <c:majorGridlines>
          <c:spPr>
            <a:ln w="3175">
              <a:solidFill>
                <a:srgbClr val="000000"/>
              </a:solidFill>
              <a:prstDash val="solid"/>
            </a:ln>
          </c:spPr>
        </c:majorGridlines>
        <c:title>
          <c:tx>
            <c:rich>
              <a:bodyPr/>
              <a:lstStyle/>
              <a:p>
                <a:pPr>
                  <a:defRPr sz="1125" b="0" i="0" u="none" strike="noStrike" baseline="0">
                    <a:solidFill>
                      <a:srgbClr val="000000"/>
                    </a:solidFill>
                    <a:latin typeface="Arial"/>
                    <a:ea typeface="Arial"/>
                    <a:cs typeface="Arial"/>
                  </a:defRPr>
                </a:pPr>
                <a:r>
                  <a:rPr lang="es-ES"/>
                  <a:t>Factor de Carga</a:t>
                </a:r>
              </a:p>
            </c:rich>
          </c:tx>
          <c:layout>
            <c:manualLayout>
              <c:xMode val="edge"/>
              <c:yMode val="edge"/>
              <c:x val="8.0645161290323047E-3"/>
              <c:y val="0.25000033223695139"/>
            </c:manualLayout>
          </c:layout>
          <c:spPr>
            <a:noFill/>
            <a:ln w="25400">
              <a:noFill/>
            </a:ln>
          </c:spPr>
        </c:title>
        <c:numFmt formatCode="0" sourceLinked="0"/>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s-ES"/>
          </a:p>
        </c:txPr>
        <c:crossAx val="132323968"/>
        <c:crosses val="autoZero"/>
        <c:crossBetween val="between"/>
      </c:valAx>
      <c:spPr>
        <a:solidFill>
          <a:srgbClr val="C0C0C0"/>
        </a:solidFill>
        <a:ln w="12700">
          <a:solidFill>
            <a:srgbClr val="808080"/>
          </a:solidFill>
          <a:prstDash val="solid"/>
        </a:ln>
      </c:spPr>
    </c:plotArea>
    <c:legend>
      <c:legendPos val="t"/>
      <c:layout>
        <c:manualLayout>
          <c:xMode val="edge"/>
          <c:yMode val="edge"/>
          <c:x val="9.8387096774193564E-2"/>
          <c:y val="4.4303797468354431E-2"/>
          <c:w val="0.18064516129032474"/>
          <c:h val="0.14873450945214317"/>
        </c:manualLayout>
      </c:layout>
      <c:spPr>
        <a:solidFill>
          <a:srgbClr val="FFFFFF"/>
        </a:solidFill>
        <a:ln w="3175">
          <a:solidFill>
            <a:srgbClr val="000000"/>
          </a:solidFill>
          <a:prstDash val="solid"/>
        </a:ln>
      </c:spPr>
      <c:txPr>
        <a:bodyPr/>
        <a:lstStyle/>
        <a:p>
          <a:pPr>
            <a:defRPr sz="1035"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s-ES"/>
    </a:p>
  </c:txPr>
  <c:printSettings>
    <c:headerFooter alignWithMargins="0"/>
    <c:pageMargins b="1" l="0.75000000000000655" r="0.75000000000000655" t="1" header="0" footer="0"/>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100" b="1" i="0" u="none" strike="noStrike" baseline="0">
                <a:solidFill>
                  <a:srgbClr val="000000"/>
                </a:solidFill>
                <a:latin typeface="Arial"/>
                <a:ea typeface="Arial"/>
                <a:cs typeface="Arial"/>
              </a:defRPr>
            </a:pPr>
            <a:r>
              <a:rPr lang="es-ES"/>
              <a:t>VARIACIÓN % DE PRECIOS PROMEDIOS DE LA ENERGÍA ELÉCTRICA EN PANAMÁ Y DEL PETRÓLEO CRUDO IMPORTADO EN USA,  1998-2011</a:t>
            </a:r>
          </a:p>
        </c:rich>
      </c:tx>
      <c:layout>
        <c:manualLayout>
          <c:xMode val="edge"/>
          <c:yMode val="edge"/>
          <c:x val="0.1246197205231916"/>
          <c:y val="7.9217496873028922E-3"/>
        </c:manualLayout>
      </c:layout>
      <c:spPr>
        <a:noFill/>
        <a:ln w="25400">
          <a:noFill/>
        </a:ln>
      </c:spPr>
    </c:title>
    <c:plotArea>
      <c:layout>
        <c:manualLayout>
          <c:layoutTarget val="inner"/>
          <c:xMode val="edge"/>
          <c:yMode val="edge"/>
          <c:x val="0.23769012066721693"/>
          <c:y val="0.18529193011029227"/>
          <c:w val="0.72721336386757551"/>
          <c:h val="0.56612682415542481"/>
        </c:manualLayout>
      </c:layout>
      <c:lineChart>
        <c:grouping val="standard"/>
        <c:ser>
          <c:idx val="0"/>
          <c:order val="0"/>
          <c:tx>
            <c:strRef>
              <c:f>'17-Precios EE-análisis históri '!$M$7</c:f>
              <c:strCache>
                <c:ptCount val="1"/>
                <c:pt idx="0">
                  <c:v>Var.Pet-EAI</c:v>
                </c:pt>
              </c:strCache>
            </c:strRef>
          </c:tx>
          <c:spPr>
            <a:ln w="38100">
              <a:solidFill>
                <a:srgbClr val="FF00FF"/>
              </a:solidFill>
              <a:prstDash val="solid"/>
            </a:ln>
          </c:spPr>
          <c:marker>
            <c:symbol val="none"/>
          </c:marker>
          <c:cat>
            <c:numRef>
              <c:f>'17-Precios EE-análisis históri '!$A$37:$A$50</c:f>
              <c:numCache>
                <c:formatCode>General</c:formatCode>
                <c:ptCount val="1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numCache>
            </c:numRef>
          </c:cat>
          <c:val>
            <c:numRef>
              <c:f>'17-Precios EE-análisis históri '!$M$37:$M$50</c:f>
              <c:numCache>
                <c:formatCode>0.0%</c:formatCode>
                <c:ptCount val="14"/>
                <c:pt idx="0">
                  <c:v>-0.33974532620474401</c:v>
                </c:pt>
                <c:pt idx="1">
                  <c:v>0.38249993737049515</c:v>
                </c:pt>
                <c:pt idx="2">
                  <c:v>0.56717232473651402</c:v>
                </c:pt>
                <c:pt idx="3">
                  <c:v>-0.1653970138754568</c:v>
                </c:pt>
                <c:pt idx="4">
                  <c:v>5.3893369194222274E-3</c:v>
                </c:pt>
                <c:pt idx="5">
                  <c:v>0.13068209171383027</c:v>
                </c:pt>
                <c:pt idx="6">
                  <c:v>0.28984562092552357</c:v>
                </c:pt>
                <c:pt idx="7">
                  <c:v>0.38045269733403053</c:v>
                </c:pt>
                <c:pt idx="8">
                  <c:v>0.15669001733751609</c:v>
                </c:pt>
                <c:pt idx="9">
                  <c:v>8.037016851394152E-2</c:v>
                </c:pt>
                <c:pt idx="10">
                  <c:v>0.30918690758650835</c:v>
                </c:pt>
                <c:pt idx="11">
                  <c:v>-0.3686178146706881</c:v>
                </c:pt>
                <c:pt idx="12">
                  <c:v>0.27243185015875948</c:v>
                </c:pt>
                <c:pt idx="13">
                  <c:v>0.36839356548665081</c:v>
                </c:pt>
              </c:numCache>
            </c:numRef>
          </c:val>
        </c:ser>
        <c:ser>
          <c:idx val="1"/>
          <c:order val="1"/>
          <c:tx>
            <c:strRef>
              <c:f>'17-Precios EE-análisis históri '!$N$7</c:f>
              <c:strCache>
                <c:ptCount val="1"/>
                <c:pt idx="0">
                  <c:v>Var-Pma-desfase 1 año</c:v>
                </c:pt>
              </c:strCache>
            </c:strRef>
          </c:tx>
          <c:spPr>
            <a:ln w="38100">
              <a:solidFill>
                <a:srgbClr val="008000"/>
              </a:solidFill>
              <a:prstDash val="solid"/>
            </a:ln>
          </c:spPr>
          <c:marker>
            <c:symbol val="none"/>
          </c:marker>
          <c:cat>
            <c:numRef>
              <c:f>'17-Precios EE-análisis históri '!$A$37:$A$50</c:f>
              <c:numCache>
                <c:formatCode>General</c:formatCode>
                <c:ptCount val="1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numCache>
            </c:numRef>
          </c:cat>
          <c:val>
            <c:numRef>
              <c:f>'17-Precios EE-análisis históri '!$N$37:$N$50</c:f>
              <c:numCache>
                <c:formatCode>0%</c:formatCode>
                <c:ptCount val="14"/>
                <c:pt idx="0">
                  <c:v>-0.10130274807769206</c:v>
                </c:pt>
                <c:pt idx="1">
                  <c:v>9.7519441132303833E-2</c:v>
                </c:pt>
                <c:pt idx="2">
                  <c:v>3.2162238467329685E-2</c:v>
                </c:pt>
                <c:pt idx="3">
                  <c:v>-7.3428760473602417E-2</c:v>
                </c:pt>
                <c:pt idx="4">
                  <c:v>5.8015603776422613E-2</c:v>
                </c:pt>
                <c:pt idx="5">
                  <c:v>1.7533479330438053E-2</c:v>
                </c:pt>
                <c:pt idx="6">
                  <c:v>0.10370188309610522</c:v>
                </c:pt>
                <c:pt idx="7">
                  <c:v>8.1461882075710132E-2</c:v>
                </c:pt>
                <c:pt idx="8">
                  <c:v>3.4049359929538619E-3</c:v>
                </c:pt>
                <c:pt idx="9">
                  <c:v>0.14576273583424199</c:v>
                </c:pt>
                <c:pt idx="10">
                  <c:v>-0.16273597855540087</c:v>
                </c:pt>
                <c:pt idx="11">
                  <c:v>-4.3667000127968703E-2</c:v>
                </c:pt>
                <c:pt idx="12">
                  <c:v>-7.4265357226446546E-2</c:v>
                </c:pt>
                <c:pt idx="13">
                  <c:v>-7.3672805180489867E-2</c:v>
                </c:pt>
              </c:numCache>
            </c:numRef>
          </c:val>
        </c:ser>
        <c:marker val="1"/>
        <c:axId val="132507520"/>
        <c:axId val="132509056"/>
      </c:lineChart>
      <c:catAx>
        <c:axId val="132507520"/>
        <c:scaling>
          <c:orientation val="minMax"/>
        </c:scaling>
        <c:axPos val="b"/>
        <c:numFmt formatCode="0" sourceLinked="0"/>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s-ES"/>
          </a:p>
        </c:txPr>
        <c:crossAx val="132509056"/>
        <c:crosses val="autoZero"/>
        <c:auto val="1"/>
        <c:lblAlgn val="ctr"/>
        <c:lblOffset val="100"/>
        <c:tickMarkSkip val="1"/>
      </c:catAx>
      <c:valAx>
        <c:axId val="132509056"/>
        <c:scaling>
          <c:orientation val="minMax"/>
        </c:scaling>
        <c:axPos val="l"/>
        <c:majorGridlines>
          <c:spPr>
            <a:ln w="12700">
              <a:solidFill>
                <a:srgbClr val="FF0000"/>
              </a:solidFill>
              <a:prstDash val="solid"/>
            </a:ln>
          </c:spPr>
        </c:majorGridlines>
        <c:numFmt formatCode="0.0%" sourceLinked="1"/>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132507520"/>
        <c:crosses val="autoZero"/>
        <c:crossBetween val="between"/>
      </c:valAx>
      <c:dTable>
        <c:showHorzBorder val="1"/>
        <c:showVertBorder val="1"/>
        <c:showOutline val="1"/>
        <c:spPr>
          <a:ln w="3175">
            <a:solidFill>
              <a:srgbClr val="000000"/>
            </a:solidFill>
            <a:prstDash val="solid"/>
          </a:ln>
        </c:spPr>
        <c:txPr>
          <a:bodyPr/>
          <a:lstStyle/>
          <a:p>
            <a:pPr rtl="0">
              <a:defRPr sz="600" b="0" i="0" u="none" strike="noStrike" baseline="0">
                <a:solidFill>
                  <a:srgbClr val="000000"/>
                </a:solidFill>
                <a:latin typeface="Arial"/>
                <a:ea typeface="Arial"/>
                <a:cs typeface="Arial"/>
              </a:defRPr>
            </a:pPr>
            <a:endParaRPr lang="es-ES"/>
          </a:p>
        </c:txPr>
      </c:dTable>
      <c:spPr>
        <a:noFill/>
        <a:ln w="25400">
          <a:noFill/>
        </a:ln>
      </c:spPr>
    </c:plotArea>
    <c:legend>
      <c:legendPos val="r"/>
      <c:layout>
        <c:manualLayout>
          <c:xMode val="edge"/>
          <c:yMode val="edge"/>
          <c:x val="0.43545966901572913"/>
          <c:y val="0.56969917429846706"/>
          <c:w val="0.31034482758621162"/>
          <c:h val="0.13196480938416424"/>
        </c:manualLayout>
      </c:layout>
      <c:spPr>
        <a:no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s-ES"/>
        </a:p>
      </c:txPr>
    </c:legend>
    <c:plotVisOnly val="1"/>
    <c:dispBlanksAs val="gap"/>
  </c:chart>
  <c:spPr>
    <a:solidFill>
      <a:srgbClr val="FFFFCC"/>
    </a:solidFill>
    <a:ln w="9525">
      <a:noFill/>
    </a:ln>
  </c:spPr>
  <c:txPr>
    <a:bodyPr/>
    <a:lstStyle/>
    <a:p>
      <a:pPr>
        <a:defRPr sz="425" b="0" i="0" u="none" strike="noStrike" baseline="0">
          <a:solidFill>
            <a:srgbClr val="000000"/>
          </a:solidFill>
          <a:latin typeface="Arial"/>
          <a:ea typeface="Arial"/>
          <a:cs typeface="Arial"/>
        </a:defRPr>
      </a:pPr>
      <a:endParaRPr lang="es-ES"/>
    </a:p>
  </c:txPr>
  <c:printSettings>
    <c:headerFooter alignWithMargins="0"/>
    <c:pageMargins b="1" l="0.75000000000000766" r="0.75000000000000766" t="1" header="0" footer="0"/>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100" b="1" i="0" u="none" strike="noStrike" baseline="0">
                <a:solidFill>
                  <a:srgbClr val="000000"/>
                </a:solidFill>
                <a:latin typeface="Arial"/>
                <a:ea typeface="Arial"/>
                <a:cs typeface="Arial"/>
              </a:defRPr>
            </a:pPr>
            <a:r>
              <a:rPr lang="es-ES"/>
              <a:t>VARIACIÓN % DE PRECIOS PROMEDIOS DE LA ENERGÍA ELÉCTRICA EN PANAMÁ Y DEL PETRÓLEO CRUDO IMPORTADO EN USA,    1980-2011</a:t>
            </a:r>
          </a:p>
        </c:rich>
      </c:tx>
      <c:layout>
        <c:manualLayout>
          <c:xMode val="edge"/>
          <c:yMode val="edge"/>
          <c:x val="0.14128440366972544"/>
          <c:y val="3.7500045776423963E-2"/>
        </c:manualLayout>
      </c:layout>
      <c:spPr>
        <a:noFill/>
        <a:ln w="25400">
          <a:noFill/>
        </a:ln>
      </c:spPr>
    </c:title>
    <c:plotArea>
      <c:layout>
        <c:manualLayout>
          <c:layoutTarget val="inner"/>
          <c:xMode val="edge"/>
          <c:yMode val="edge"/>
          <c:x val="0.11259394235329297"/>
          <c:y val="0.24750030212439603"/>
          <c:w val="0.88704363466396463"/>
          <c:h val="0.58561719141385349"/>
        </c:manualLayout>
      </c:layout>
      <c:lineChart>
        <c:grouping val="standard"/>
        <c:ser>
          <c:idx val="0"/>
          <c:order val="0"/>
          <c:tx>
            <c:strRef>
              <c:f>'17-Precios EE-análisis históri '!$L$7</c:f>
              <c:strCache>
                <c:ptCount val="1"/>
                <c:pt idx="0">
                  <c:v>Var.EEPma</c:v>
                </c:pt>
              </c:strCache>
            </c:strRef>
          </c:tx>
          <c:spPr>
            <a:ln w="38100">
              <a:solidFill>
                <a:srgbClr val="008000"/>
              </a:solidFill>
              <a:prstDash val="solid"/>
            </a:ln>
          </c:spPr>
          <c:marker>
            <c:symbol val="none"/>
          </c:marker>
          <c:cat>
            <c:numRef>
              <c:f>'17-Precios EE-análisis históri '!$A$20:$A$50</c:f>
              <c:numCache>
                <c:formatCode>General</c:formatCode>
                <c:ptCount val="3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numCache>
            </c:numRef>
          </c:cat>
          <c:val>
            <c:numRef>
              <c:f>'17-Precios EE-análisis históri '!$L$20:$L$50</c:f>
              <c:numCache>
                <c:formatCode>0.0%</c:formatCode>
                <c:ptCount val="31"/>
                <c:pt idx="0">
                  <c:v>9.8322916749245051E-3</c:v>
                </c:pt>
                <c:pt idx="1">
                  <c:v>3.8132610019872219E-2</c:v>
                </c:pt>
                <c:pt idx="2">
                  <c:v>6.3596505015712748E-2</c:v>
                </c:pt>
                <c:pt idx="3">
                  <c:v>-6.094815828810005E-3</c:v>
                </c:pt>
                <c:pt idx="4">
                  <c:v>-4.6959920979313591E-2</c:v>
                </c:pt>
                <c:pt idx="5">
                  <c:v>-2.1486575136041589E-2</c:v>
                </c:pt>
                <c:pt idx="6">
                  <c:v>-2.4580780927803192E-2</c:v>
                </c:pt>
                <c:pt idx="7">
                  <c:v>-1.322251825293619E-2</c:v>
                </c:pt>
                <c:pt idx="8">
                  <c:v>1.0703221020010003E-2</c:v>
                </c:pt>
                <c:pt idx="9">
                  <c:v>-1.2479620827015293E-2</c:v>
                </c:pt>
                <c:pt idx="10">
                  <c:v>-1.3662455058062023E-2</c:v>
                </c:pt>
                <c:pt idx="11">
                  <c:v>-3.472644362923704E-2</c:v>
                </c:pt>
                <c:pt idx="12">
                  <c:v>-1.1951884943172938E-2</c:v>
                </c:pt>
                <c:pt idx="13">
                  <c:v>-8.4014204014651213E-3</c:v>
                </c:pt>
                <c:pt idx="14">
                  <c:v>-1.6614224863101306E-2</c:v>
                </c:pt>
                <c:pt idx="15">
                  <c:v>-2.2611102878627293E-2</c:v>
                </c:pt>
                <c:pt idx="16">
                  <c:v>-2.9443722021805493E-2</c:v>
                </c:pt>
                <c:pt idx="17">
                  <c:v>4.7350801742940471E-3</c:v>
                </c:pt>
                <c:pt idx="18">
                  <c:v>-0.10130274807769206</c:v>
                </c:pt>
                <c:pt idx="19">
                  <c:v>9.7519441132303833E-2</c:v>
                </c:pt>
                <c:pt idx="20">
                  <c:v>3.2162238467329685E-2</c:v>
                </c:pt>
                <c:pt idx="21">
                  <c:v>-7.3428760473602417E-2</c:v>
                </c:pt>
                <c:pt idx="22">
                  <c:v>5.8015603776422613E-2</c:v>
                </c:pt>
                <c:pt idx="23">
                  <c:v>1.7533479330438053E-2</c:v>
                </c:pt>
                <c:pt idx="24">
                  <c:v>0.10370188309610522</c:v>
                </c:pt>
                <c:pt idx="25">
                  <c:v>8.1461882075710132E-2</c:v>
                </c:pt>
                <c:pt idx="26">
                  <c:v>3.4049359929538619E-3</c:v>
                </c:pt>
                <c:pt idx="27">
                  <c:v>0.14576273583424199</c:v>
                </c:pt>
                <c:pt idx="28">
                  <c:v>-0.16273597855540087</c:v>
                </c:pt>
                <c:pt idx="29">
                  <c:v>-4.3667000127968703E-2</c:v>
                </c:pt>
                <c:pt idx="30">
                  <c:v>-7.4265357226446546E-2</c:v>
                </c:pt>
              </c:numCache>
            </c:numRef>
          </c:val>
        </c:ser>
        <c:ser>
          <c:idx val="1"/>
          <c:order val="1"/>
          <c:tx>
            <c:strRef>
              <c:f>'17-Precios EE-análisis históri '!$M$7</c:f>
              <c:strCache>
                <c:ptCount val="1"/>
                <c:pt idx="0">
                  <c:v>Var.Pet-EAI</c:v>
                </c:pt>
              </c:strCache>
            </c:strRef>
          </c:tx>
          <c:spPr>
            <a:ln w="38100">
              <a:solidFill>
                <a:srgbClr val="FF00FF"/>
              </a:solidFill>
              <a:prstDash val="solid"/>
            </a:ln>
          </c:spPr>
          <c:marker>
            <c:symbol val="none"/>
          </c:marker>
          <c:cat>
            <c:numRef>
              <c:f>'17-Precios EE-análisis históri '!$A$20:$A$50</c:f>
              <c:numCache>
                <c:formatCode>General</c:formatCode>
                <c:ptCount val="3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numCache>
            </c:numRef>
          </c:cat>
          <c:val>
            <c:numRef>
              <c:f>'17-Precios EE-análisis históri '!$M$20:$M$50</c:f>
              <c:numCache>
                <c:formatCode>0.0%</c:formatCode>
                <c:ptCount val="31"/>
                <c:pt idx="0">
                  <c:v>-0.1080323240701635</c:v>
                </c:pt>
                <c:pt idx="1">
                  <c:v>-0.13514720033459904</c:v>
                </c:pt>
                <c:pt idx="2">
                  <c:v>-0.13782347374069015</c:v>
                </c:pt>
                <c:pt idx="3">
                  <c:v>-6.1308134763085942E-2</c:v>
                </c:pt>
                <c:pt idx="4">
                  <c:v>-7.05308539799403E-2</c:v>
                </c:pt>
                <c:pt idx="5">
                  <c:v>-0.4877444306958495</c:v>
                </c:pt>
                <c:pt idx="6">
                  <c:v>0.24152055811578821</c:v>
                </c:pt>
                <c:pt idx="7">
                  <c:v>-0.21735283300522967</c:v>
                </c:pt>
                <c:pt idx="8">
                  <c:v>0.17684862865924478</c:v>
                </c:pt>
                <c:pt idx="9">
                  <c:v>0.25338038165271404</c:v>
                </c:pt>
                <c:pt idx="10">
                  <c:v>-0.18576209245871755</c:v>
                </c:pt>
                <c:pt idx="11">
                  <c:v>-5.6491274986970597E-2</c:v>
                </c:pt>
                <c:pt idx="12">
                  <c:v>-0.13863043404152764</c:v>
                </c:pt>
                <c:pt idx="13">
                  <c:v>-8.6852323251845331E-2</c:v>
                </c:pt>
                <c:pt idx="14">
                  <c:v>5.1231644534210474E-2</c:v>
                </c:pt>
                <c:pt idx="15">
                  <c:v>0.19004386553873975</c:v>
                </c:pt>
                <c:pt idx="16">
                  <c:v>-9.0199492086296199E-2</c:v>
                </c:pt>
                <c:pt idx="17">
                  <c:v>-0.33974532620474401</c:v>
                </c:pt>
                <c:pt idx="18">
                  <c:v>0.38249993737049515</c:v>
                </c:pt>
                <c:pt idx="19">
                  <c:v>0.56717232473651402</c:v>
                </c:pt>
                <c:pt idx="20">
                  <c:v>-0.1653970138754568</c:v>
                </c:pt>
                <c:pt idx="21">
                  <c:v>5.3893369194222274E-3</c:v>
                </c:pt>
                <c:pt idx="22">
                  <c:v>0.13068209171383027</c:v>
                </c:pt>
                <c:pt idx="23">
                  <c:v>0.28984562092552357</c:v>
                </c:pt>
                <c:pt idx="24">
                  <c:v>0.38045269733403053</c:v>
                </c:pt>
                <c:pt idx="25">
                  <c:v>0.15669001733751609</c:v>
                </c:pt>
                <c:pt idx="26">
                  <c:v>8.037016851394152E-2</c:v>
                </c:pt>
                <c:pt idx="27">
                  <c:v>0.30918690758650835</c:v>
                </c:pt>
                <c:pt idx="28">
                  <c:v>-0.3686178146706881</c:v>
                </c:pt>
                <c:pt idx="29">
                  <c:v>0.27243185015875948</c:v>
                </c:pt>
                <c:pt idx="30">
                  <c:v>0.36839356548665081</c:v>
                </c:pt>
              </c:numCache>
            </c:numRef>
          </c:val>
        </c:ser>
        <c:marker val="1"/>
        <c:axId val="132445696"/>
        <c:axId val="132447232"/>
      </c:lineChart>
      <c:catAx>
        <c:axId val="132445696"/>
        <c:scaling>
          <c:orientation val="minMax"/>
        </c:scaling>
        <c:axPos val="b"/>
        <c:numFmt formatCode="General" sourceLinked="1"/>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132447232"/>
        <c:crosses val="autoZero"/>
        <c:lblAlgn val="ctr"/>
        <c:lblOffset val="100"/>
        <c:tickLblSkip val="3"/>
        <c:tickMarkSkip val="1"/>
      </c:catAx>
      <c:valAx>
        <c:axId val="132447232"/>
        <c:scaling>
          <c:orientation val="minMax"/>
        </c:scaling>
        <c:axPos val="l"/>
        <c:majorGridlines>
          <c:spPr>
            <a:ln w="12700">
              <a:solidFill>
                <a:srgbClr val="FF0000"/>
              </a:solidFill>
              <a:prstDash val="solid"/>
            </a:ln>
          </c:spPr>
        </c:majorGridlines>
        <c:numFmt formatCode="0.0%" sourceLinked="1"/>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132445696"/>
        <c:crosses val="autoZero"/>
        <c:crossBetween val="between"/>
      </c:valAx>
      <c:spPr>
        <a:noFill/>
        <a:ln w="25400">
          <a:noFill/>
        </a:ln>
      </c:spPr>
    </c:plotArea>
    <c:legend>
      <c:legendPos val="r"/>
      <c:layout>
        <c:manualLayout>
          <c:xMode val="edge"/>
          <c:yMode val="edge"/>
          <c:x val="0.26788990825688591"/>
          <c:y val="0.36000043945366522"/>
          <c:w val="0.38348623853211389"/>
          <c:h val="6.0000073242277012E-2"/>
        </c:manualLayout>
      </c:layout>
      <c:spPr>
        <a:no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CC"/>
    </a:solidFill>
    <a:ln w="9525">
      <a:noFill/>
    </a:ln>
  </c:spPr>
  <c:txPr>
    <a:bodyPr/>
    <a:lstStyle/>
    <a:p>
      <a:pPr>
        <a:defRPr sz="500" b="0" i="0" u="none" strike="noStrike" baseline="0">
          <a:solidFill>
            <a:srgbClr val="000000"/>
          </a:solidFill>
          <a:latin typeface="Arial"/>
          <a:ea typeface="Arial"/>
          <a:cs typeface="Arial"/>
        </a:defRPr>
      </a:pPr>
      <a:endParaRPr lang="es-ES"/>
    </a:p>
  </c:txPr>
  <c:printSettings>
    <c:headerFooter alignWithMargins="0"/>
    <c:pageMargins b="1" l="0.75000000000000766" r="0.75000000000000766" t="1" header="0" footer="0"/>
    <c:pageSetup orientation="landscape"/>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VARIACION  del IPC </a:t>
            </a:r>
            <a:r>
              <a:rPr lang="es-ES" baseline="-25000"/>
              <a:t>ELECTRICIDAD</a:t>
            </a:r>
            <a:endParaRPr lang="es-ES"/>
          </a:p>
        </c:rich>
      </c:tx>
      <c:layout/>
      <c:overlay val="1"/>
    </c:title>
    <c:plotArea>
      <c:layout>
        <c:manualLayout>
          <c:layoutTarget val="inner"/>
          <c:xMode val="edge"/>
          <c:yMode val="edge"/>
          <c:x val="0.15085305032498333"/>
          <c:y val="0.20778917140688091"/>
          <c:w val="0.81967823213539515"/>
          <c:h val="0.62542256213623149"/>
        </c:manualLayout>
      </c:layout>
      <c:lineChart>
        <c:grouping val="standard"/>
        <c:ser>
          <c:idx val="0"/>
          <c:order val="0"/>
          <c:tx>
            <c:strRef>
              <c:f>'17-Precios EE-análisis históri '!$I$69:$J$69</c:f>
              <c:strCache>
                <c:ptCount val="1"/>
                <c:pt idx="0">
                  <c:v>VARIACION  (%)</c:v>
                </c:pt>
              </c:strCache>
            </c:strRef>
          </c:tx>
          <c:spPr>
            <a:ln>
              <a:solidFill>
                <a:srgbClr val="00B050"/>
              </a:solidFill>
            </a:ln>
          </c:spPr>
          <c:cat>
            <c:numRef>
              <c:f>'17-Precios EE-análisis históri '!$L$67:$U$67</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'17-Precios EE-análisis históri '!$M$69:$U$69</c:f>
              <c:numCache>
                <c:formatCode>0.0%</c:formatCode>
                <c:ptCount val="9"/>
                <c:pt idx="0">
                  <c:v>1.8957345971564177E-3</c:v>
                </c:pt>
                <c:pt idx="1">
                  <c:v>0.12866603595080406</c:v>
                </c:pt>
                <c:pt idx="2">
                  <c:v>0.11735121542330273</c:v>
                </c:pt>
                <c:pt idx="3">
                  <c:v>7.2018004501125166E-2</c:v>
                </c:pt>
                <c:pt idx="4">
                  <c:v>0.12666200139958006</c:v>
                </c:pt>
                <c:pt idx="5">
                  <c:v>-0.31242236024844716</c:v>
                </c:pt>
                <c:pt idx="6">
                  <c:v>-5.9620596205962162E-2</c:v>
                </c:pt>
                <c:pt idx="7">
                  <c:v>-9.6061479346776224E-4</c:v>
                </c:pt>
                <c:pt idx="8">
                  <c:v>0.11250000000000004</c:v>
                </c:pt>
              </c:numCache>
            </c:numRef>
          </c:val>
        </c:ser>
        <c:marker val="1"/>
        <c:axId val="132729472"/>
        <c:axId val="132748032"/>
      </c:lineChart>
      <c:catAx>
        <c:axId val="132729472"/>
        <c:scaling>
          <c:orientation val="minMax"/>
        </c:scaling>
        <c:axPos val="b"/>
        <c:title>
          <c:tx>
            <c:rich>
              <a:bodyPr/>
              <a:lstStyle/>
              <a:p>
                <a:pPr>
                  <a:defRPr baseline="0">
                    <a:solidFill>
                      <a:srgbClr val="FF0000"/>
                    </a:solidFill>
                  </a:defRPr>
                </a:pPr>
                <a:r>
                  <a:rPr lang="es-ES" baseline="0">
                    <a:solidFill>
                      <a:srgbClr val="FF0000"/>
                    </a:solidFill>
                  </a:rPr>
                  <a:t>AÑOS </a:t>
                </a:r>
              </a:p>
            </c:rich>
          </c:tx>
          <c:layout/>
        </c:title>
        <c:numFmt formatCode="General" sourceLinked="1"/>
        <c:tickLblPos val="nextTo"/>
        <c:txPr>
          <a:bodyPr/>
          <a:lstStyle/>
          <a:p>
            <a:pPr>
              <a:defRPr baseline="0">
                <a:solidFill>
                  <a:srgbClr val="FF0000"/>
                </a:solidFill>
              </a:defRPr>
            </a:pPr>
            <a:endParaRPr lang="es-ES"/>
          </a:p>
        </c:txPr>
        <c:crossAx val="132748032"/>
        <c:crosses val="autoZero"/>
        <c:auto val="1"/>
        <c:lblAlgn val="ctr"/>
        <c:lblOffset val="100"/>
      </c:catAx>
      <c:valAx>
        <c:axId val="132748032"/>
        <c:scaling>
          <c:orientation val="minMax"/>
        </c:scaling>
        <c:axPos val="l"/>
        <c:majorGridlines/>
        <c:title>
          <c:tx>
            <c:rich>
              <a:bodyPr rot="0" vert="wordArtVert"/>
              <a:lstStyle/>
              <a:p>
                <a:pPr>
                  <a:defRPr sz="1400">
                    <a:solidFill>
                      <a:srgbClr val="FF0000"/>
                    </a:solidFill>
                  </a:defRPr>
                </a:pPr>
                <a:r>
                  <a:rPr lang="en-US" sz="1400">
                    <a:solidFill>
                      <a:srgbClr val="FF0000"/>
                    </a:solidFill>
                  </a:rPr>
                  <a:t>%</a:t>
                </a:r>
              </a:p>
            </c:rich>
          </c:tx>
          <c:layout/>
        </c:title>
        <c:numFmt formatCode="0.0%" sourceLinked="1"/>
        <c:tickLblPos val="nextTo"/>
        <c:txPr>
          <a:bodyPr/>
          <a:lstStyle/>
          <a:p>
            <a:pPr>
              <a:defRPr baseline="0">
                <a:solidFill>
                  <a:srgbClr val="FF0000"/>
                </a:solidFill>
              </a:defRPr>
            </a:pPr>
            <a:endParaRPr lang="es-ES"/>
          </a:p>
        </c:txPr>
        <c:crossAx val="132729472"/>
        <c:crosses val="autoZero"/>
        <c:crossBetween val="between"/>
      </c:valAx>
      <c:spPr>
        <a:solidFill>
          <a:srgbClr val="FFFFCC"/>
        </a:solidFill>
      </c:spPr>
    </c:plotArea>
    <c:legend>
      <c:legendPos val="r"/>
      <c:layout>
        <c:manualLayout>
          <c:xMode val="edge"/>
          <c:yMode val="edge"/>
          <c:x val="0.10873325305756171"/>
          <c:y val="0.91027826524661948"/>
          <c:w val="0.25669904618857625"/>
          <c:h val="7.8960669057861935E-2"/>
        </c:manualLayout>
      </c:layout>
    </c:legend>
    <c:plotVisOnly val="1"/>
  </c:chart>
  <c:spPr>
    <a:solidFill>
      <a:srgbClr val="FFFF00"/>
    </a:solidFill>
    <a:ln>
      <a:solidFill>
        <a:srgbClr val="FF0000"/>
      </a:solidFill>
    </a:ln>
  </c:spPr>
  <c:printSettings>
    <c:headerFooter/>
    <c:pageMargins b="0.75000000000000688" l="0.70000000000000062" r="0.70000000000000062" t="0.75000000000000688"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n-US"/>
              <a:t>IPC   ELECTRICIDAD  RESIDENCIAL </a:t>
            </a:r>
            <a:r>
              <a:rPr lang="en-US" sz="1400"/>
              <a:t>(Base Oct 2000)</a:t>
            </a:r>
          </a:p>
        </c:rich>
      </c:tx>
      <c:layout>
        <c:manualLayout>
          <c:xMode val="edge"/>
          <c:yMode val="edge"/>
          <c:x val="0.14145944306455324"/>
          <c:y val="2.2085251156258551E-2"/>
        </c:manualLayout>
      </c:layout>
    </c:title>
    <c:plotArea>
      <c:layout>
        <c:manualLayout>
          <c:layoutTarget val="inner"/>
          <c:xMode val="edge"/>
          <c:yMode val="edge"/>
          <c:x val="9.652497750980342E-2"/>
          <c:y val="0.27357035327269413"/>
          <c:w val="0.87848712839252152"/>
          <c:h val="0.57624934240346781"/>
        </c:manualLayout>
      </c:layout>
      <c:lineChart>
        <c:grouping val="standard"/>
        <c:ser>
          <c:idx val="0"/>
          <c:order val="0"/>
          <c:tx>
            <c:strRef>
              <c:f>'17-Precios EE-análisis históri '!$I$68:$K$68</c:f>
              <c:strCache>
                <c:ptCount val="1"/>
                <c:pt idx="0">
                  <c:v>IPC  ELECTRICIDAD RESIDENCIAL (Base2000)</c:v>
                </c:pt>
              </c:strCache>
            </c:strRef>
          </c:tx>
          <c:spPr>
            <a:ln>
              <a:solidFill>
                <a:srgbClr val="FF0000"/>
              </a:solidFill>
            </a:ln>
          </c:spPr>
          <c:marker>
            <c:symbol val="none"/>
          </c:marker>
          <c:cat>
            <c:numRef>
              <c:f>'17-Precios EE-análisis históri '!$L$67:$U$67</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'17-Precios EE-análisis históri '!$L$68:$U$68</c:f>
              <c:numCache>
                <c:formatCode>#,##0.0</c:formatCode>
                <c:ptCount val="10"/>
                <c:pt idx="0">
                  <c:v>105.5</c:v>
                </c:pt>
                <c:pt idx="1">
                  <c:v>105.7</c:v>
                </c:pt>
                <c:pt idx="2">
                  <c:v>119.3</c:v>
                </c:pt>
                <c:pt idx="3">
                  <c:v>133.30000000000001</c:v>
                </c:pt>
                <c:pt idx="4">
                  <c:v>142.9</c:v>
                </c:pt>
                <c:pt idx="5">
                  <c:v>161</c:v>
                </c:pt>
                <c:pt idx="6">
                  <c:v>110.7</c:v>
                </c:pt>
                <c:pt idx="7">
                  <c:v>104.1</c:v>
                </c:pt>
                <c:pt idx="8">
                  <c:v>104</c:v>
                </c:pt>
                <c:pt idx="9">
                  <c:v>115.7</c:v>
                </c:pt>
              </c:numCache>
            </c:numRef>
          </c:val>
        </c:ser>
        <c:marker val="1"/>
        <c:axId val="129652608"/>
        <c:axId val="129654144"/>
      </c:lineChart>
      <c:catAx>
        <c:axId val="129652608"/>
        <c:scaling>
          <c:orientation val="minMax"/>
        </c:scaling>
        <c:axPos val="b"/>
        <c:numFmt formatCode="General" sourceLinked="1"/>
        <c:tickLblPos val="nextTo"/>
        <c:txPr>
          <a:bodyPr/>
          <a:lstStyle/>
          <a:p>
            <a:pPr>
              <a:defRPr b="1"/>
            </a:pPr>
            <a:endParaRPr lang="es-ES"/>
          </a:p>
        </c:txPr>
        <c:crossAx val="129654144"/>
        <c:crosses val="autoZero"/>
        <c:auto val="1"/>
        <c:lblAlgn val="ctr"/>
        <c:lblOffset val="100"/>
      </c:catAx>
      <c:valAx>
        <c:axId val="129654144"/>
        <c:scaling>
          <c:orientation val="minMax"/>
          <c:max val="180"/>
          <c:min val="80"/>
        </c:scaling>
        <c:axPos val="l"/>
        <c:majorGridlines/>
        <c:title>
          <c:tx>
            <c:rich>
              <a:bodyPr rot="0" vert="horz"/>
              <a:lstStyle/>
              <a:p>
                <a:pPr>
                  <a:defRPr sz="1400" baseline="0">
                    <a:solidFill>
                      <a:schemeClr val="accent6"/>
                    </a:solidFill>
                  </a:defRPr>
                </a:pPr>
                <a:r>
                  <a:rPr lang="es-ES" sz="1400" baseline="0">
                    <a:solidFill>
                      <a:schemeClr val="accent6"/>
                    </a:solidFill>
                  </a:rPr>
                  <a:t>INDICE</a:t>
                </a:r>
              </a:p>
              <a:p>
                <a:pPr>
                  <a:defRPr sz="1400" baseline="0">
                    <a:solidFill>
                      <a:schemeClr val="accent6"/>
                    </a:solidFill>
                  </a:defRPr>
                </a:pPr>
                <a:endParaRPr lang="es-ES" sz="1400" baseline="0">
                  <a:solidFill>
                    <a:schemeClr val="accent6"/>
                  </a:solidFill>
                </a:endParaRPr>
              </a:p>
            </c:rich>
          </c:tx>
          <c:layout>
            <c:manualLayout>
              <c:xMode val="edge"/>
              <c:yMode val="edge"/>
              <c:x val="9.1622278358144543E-2"/>
              <c:y val="0.26761894533347896"/>
            </c:manualLayout>
          </c:layout>
        </c:title>
        <c:numFmt formatCode="#,##0.0" sourceLinked="1"/>
        <c:tickLblPos val="nextTo"/>
        <c:txPr>
          <a:bodyPr/>
          <a:lstStyle/>
          <a:p>
            <a:pPr>
              <a:defRPr b="1"/>
            </a:pPr>
            <a:endParaRPr lang="es-ES"/>
          </a:p>
        </c:txPr>
        <c:crossAx val="129652608"/>
        <c:crosses val="autoZero"/>
        <c:crossBetween val="between"/>
        <c:minorUnit val="10"/>
      </c:valAx>
      <c:spPr>
        <a:gradFill>
          <a:gsLst>
            <a:gs pos="0">
              <a:srgbClr val="5E9EFF"/>
            </a:gs>
            <a:gs pos="39999">
              <a:srgbClr val="85C2FF"/>
            </a:gs>
            <a:gs pos="70000">
              <a:srgbClr val="C4D6EB"/>
            </a:gs>
            <a:gs pos="100000">
              <a:srgbClr val="FFEBFA"/>
            </a:gs>
          </a:gsLst>
          <a:lin ang="5400000" scaled="0"/>
        </a:gradFill>
      </c:spPr>
    </c:plotArea>
    <c:plotVisOnly val="1"/>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printSettings>
    <c:headerFooter/>
    <c:pageMargins b="0.75000000000000377" l="0.70000000000000062" r="0.70000000000000062" t="0.7500000000000037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100" b="1" i="0" u="none" strike="noStrike" baseline="0">
                <a:solidFill>
                  <a:srgbClr val="000000"/>
                </a:solidFill>
                <a:latin typeface="Arial"/>
                <a:ea typeface="Arial"/>
                <a:cs typeface="Arial"/>
              </a:defRPr>
            </a:pPr>
            <a:r>
              <a:rPr lang="es-ES"/>
              <a:t>VARIACIÓN % DE PRECIOS PROMEDIOS DE LA ENERGÍA ELÉCTRICA EN PANAMÁ Y DEL PETRÓLEO CRUDO IMPORTADO EN USA,    1980-2011</a:t>
            </a:r>
          </a:p>
        </c:rich>
      </c:tx>
      <c:layout>
        <c:manualLayout>
          <c:xMode val="edge"/>
          <c:yMode val="edge"/>
          <c:x val="0.14128440366972544"/>
          <c:y val="3.7500045776423983E-2"/>
        </c:manualLayout>
      </c:layout>
      <c:spPr>
        <a:noFill/>
        <a:ln w="25400">
          <a:noFill/>
        </a:ln>
      </c:spPr>
    </c:title>
    <c:plotArea>
      <c:layout>
        <c:manualLayout>
          <c:layoutTarget val="inner"/>
          <c:xMode val="edge"/>
          <c:yMode val="edge"/>
          <c:x val="0.11259394235329299"/>
          <c:y val="0.24750030212439608"/>
          <c:w val="0.88704363466396463"/>
          <c:h val="0.58561719141385349"/>
        </c:manualLayout>
      </c:layout>
      <c:lineChart>
        <c:grouping val="standard"/>
        <c:ser>
          <c:idx val="0"/>
          <c:order val="0"/>
          <c:tx>
            <c:strRef>
              <c:f>'17-Precios EE-análisis históri '!$L$7</c:f>
              <c:strCache>
                <c:ptCount val="1"/>
                <c:pt idx="0">
                  <c:v>Var.EEPma</c:v>
                </c:pt>
              </c:strCache>
            </c:strRef>
          </c:tx>
          <c:spPr>
            <a:ln w="38100">
              <a:solidFill>
                <a:srgbClr val="008000"/>
              </a:solidFill>
              <a:prstDash val="solid"/>
            </a:ln>
          </c:spPr>
          <c:marker>
            <c:symbol val="none"/>
          </c:marker>
          <c:cat>
            <c:numRef>
              <c:f>'17-Precios EE-análisis históri '!$A$20:$A$50</c:f>
              <c:numCache>
                <c:formatCode>General</c:formatCode>
                <c:ptCount val="3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numCache>
            </c:numRef>
          </c:cat>
          <c:val>
            <c:numRef>
              <c:f>'17-Precios EE-análisis históri '!$L$20:$L$50</c:f>
              <c:numCache>
                <c:formatCode>0.0%</c:formatCode>
                <c:ptCount val="31"/>
                <c:pt idx="0">
                  <c:v>9.8322916749245051E-3</c:v>
                </c:pt>
                <c:pt idx="1">
                  <c:v>3.8132610019872219E-2</c:v>
                </c:pt>
                <c:pt idx="2">
                  <c:v>6.3596505015712748E-2</c:v>
                </c:pt>
                <c:pt idx="3">
                  <c:v>-6.094815828810005E-3</c:v>
                </c:pt>
                <c:pt idx="4">
                  <c:v>-4.6959920979313591E-2</c:v>
                </c:pt>
                <c:pt idx="5">
                  <c:v>-2.1486575136041589E-2</c:v>
                </c:pt>
                <c:pt idx="6">
                  <c:v>-2.4580780927803192E-2</c:v>
                </c:pt>
                <c:pt idx="7">
                  <c:v>-1.322251825293619E-2</c:v>
                </c:pt>
                <c:pt idx="8">
                  <c:v>1.0703221020010003E-2</c:v>
                </c:pt>
                <c:pt idx="9">
                  <c:v>-1.2479620827015293E-2</c:v>
                </c:pt>
                <c:pt idx="10">
                  <c:v>-1.3662455058062023E-2</c:v>
                </c:pt>
                <c:pt idx="11">
                  <c:v>-3.472644362923704E-2</c:v>
                </c:pt>
                <c:pt idx="12">
                  <c:v>-1.1951884943172938E-2</c:v>
                </c:pt>
                <c:pt idx="13">
                  <c:v>-8.4014204014651213E-3</c:v>
                </c:pt>
                <c:pt idx="14">
                  <c:v>-1.6614224863101306E-2</c:v>
                </c:pt>
                <c:pt idx="15">
                  <c:v>-2.2611102878627293E-2</c:v>
                </c:pt>
                <c:pt idx="16">
                  <c:v>-2.9443722021805493E-2</c:v>
                </c:pt>
                <c:pt idx="17">
                  <c:v>4.7350801742940471E-3</c:v>
                </c:pt>
                <c:pt idx="18">
                  <c:v>-0.10130274807769206</c:v>
                </c:pt>
                <c:pt idx="19">
                  <c:v>9.7519441132303833E-2</c:v>
                </c:pt>
                <c:pt idx="20">
                  <c:v>3.2162238467329685E-2</c:v>
                </c:pt>
                <c:pt idx="21">
                  <c:v>-7.3428760473602417E-2</c:v>
                </c:pt>
                <c:pt idx="22">
                  <c:v>5.8015603776422613E-2</c:v>
                </c:pt>
                <c:pt idx="23">
                  <c:v>1.7533479330438053E-2</c:v>
                </c:pt>
                <c:pt idx="24">
                  <c:v>0.10370188309610522</c:v>
                </c:pt>
                <c:pt idx="25">
                  <c:v>8.1461882075710132E-2</c:v>
                </c:pt>
                <c:pt idx="26">
                  <c:v>3.4049359929538619E-3</c:v>
                </c:pt>
                <c:pt idx="27">
                  <c:v>0.14576273583424199</c:v>
                </c:pt>
                <c:pt idx="28">
                  <c:v>-0.16273597855540087</c:v>
                </c:pt>
                <c:pt idx="29">
                  <c:v>-4.3667000127968703E-2</c:v>
                </c:pt>
                <c:pt idx="30">
                  <c:v>-7.4265357226446546E-2</c:v>
                </c:pt>
              </c:numCache>
            </c:numRef>
          </c:val>
        </c:ser>
        <c:ser>
          <c:idx val="1"/>
          <c:order val="1"/>
          <c:tx>
            <c:strRef>
              <c:f>'17-Precios EE-análisis históri '!$M$7</c:f>
              <c:strCache>
                <c:ptCount val="1"/>
                <c:pt idx="0">
                  <c:v>Var.Pet-EAI</c:v>
                </c:pt>
              </c:strCache>
            </c:strRef>
          </c:tx>
          <c:spPr>
            <a:ln w="38100">
              <a:solidFill>
                <a:srgbClr val="FF00FF"/>
              </a:solidFill>
              <a:prstDash val="solid"/>
            </a:ln>
          </c:spPr>
          <c:marker>
            <c:symbol val="none"/>
          </c:marker>
          <c:cat>
            <c:numRef>
              <c:f>'17-Precios EE-análisis históri '!$A$20:$A$50</c:f>
              <c:numCache>
                <c:formatCode>General</c:formatCode>
                <c:ptCount val="3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numCache>
            </c:numRef>
          </c:cat>
          <c:val>
            <c:numRef>
              <c:f>'17-Precios EE-análisis históri '!$M$20:$M$50</c:f>
              <c:numCache>
                <c:formatCode>0.0%</c:formatCode>
                <c:ptCount val="31"/>
                <c:pt idx="0">
                  <c:v>-0.1080323240701635</c:v>
                </c:pt>
                <c:pt idx="1">
                  <c:v>-0.13514720033459904</c:v>
                </c:pt>
                <c:pt idx="2">
                  <c:v>-0.13782347374069015</c:v>
                </c:pt>
                <c:pt idx="3">
                  <c:v>-6.1308134763085942E-2</c:v>
                </c:pt>
                <c:pt idx="4">
                  <c:v>-7.05308539799403E-2</c:v>
                </c:pt>
                <c:pt idx="5">
                  <c:v>-0.4877444306958495</c:v>
                </c:pt>
                <c:pt idx="6">
                  <c:v>0.24152055811578821</c:v>
                </c:pt>
                <c:pt idx="7">
                  <c:v>-0.21735283300522967</c:v>
                </c:pt>
                <c:pt idx="8">
                  <c:v>0.17684862865924478</c:v>
                </c:pt>
                <c:pt idx="9">
                  <c:v>0.25338038165271404</c:v>
                </c:pt>
                <c:pt idx="10">
                  <c:v>-0.18576209245871755</c:v>
                </c:pt>
                <c:pt idx="11">
                  <c:v>-5.6491274986970597E-2</c:v>
                </c:pt>
                <c:pt idx="12">
                  <c:v>-0.13863043404152764</c:v>
                </c:pt>
                <c:pt idx="13">
                  <c:v>-8.6852323251845331E-2</c:v>
                </c:pt>
                <c:pt idx="14">
                  <c:v>5.1231644534210474E-2</c:v>
                </c:pt>
                <c:pt idx="15">
                  <c:v>0.19004386553873975</c:v>
                </c:pt>
                <c:pt idx="16">
                  <c:v>-9.0199492086296199E-2</c:v>
                </c:pt>
                <c:pt idx="17">
                  <c:v>-0.33974532620474401</c:v>
                </c:pt>
                <c:pt idx="18">
                  <c:v>0.38249993737049515</c:v>
                </c:pt>
                <c:pt idx="19">
                  <c:v>0.56717232473651402</c:v>
                </c:pt>
                <c:pt idx="20">
                  <c:v>-0.1653970138754568</c:v>
                </c:pt>
                <c:pt idx="21">
                  <c:v>5.3893369194222274E-3</c:v>
                </c:pt>
                <c:pt idx="22">
                  <c:v>0.13068209171383027</c:v>
                </c:pt>
                <c:pt idx="23">
                  <c:v>0.28984562092552357</c:v>
                </c:pt>
                <c:pt idx="24">
                  <c:v>0.38045269733403053</c:v>
                </c:pt>
                <c:pt idx="25">
                  <c:v>0.15669001733751609</c:v>
                </c:pt>
                <c:pt idx="26">
                  <c:v>8.037016851394152E-2</c:v>
                </c:pt>
                <c:pt idx="27">
                  <c:v>0.30918690758650835</c:v>
                </c:pt>
                <c:pt idx="28">
                  <c:v>-0.3686178146706881</c:v>
                </c:pt>
                <c:pt idx="29">
                  <c:v>0.27243185015875948</c:v>
                </c:pt>
                <c:pt idx="30">
                  <c:v>0.36839356548665081</c:v>
                </c:pt>
              </c:numCache>
            </c:numRef>
          </c:val>
        </c:ser>
        <c:marker val="1"/>
        <c:axId val="129691648"/>
        <c:axId val="129693184"/>
      </c:lineChart>
      <c:catAx>
        <c:axId val="129691648"/>
        <c:scaling>
          <c:orientation val="minMax"/>
        </c:scaling>
        <c:axPos val="b"/>
        <c:numFmt formatCode="General" sourceLinked="1"/>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129693184"/>
        <c:crosses val="autoZero"/>
        <c:lblAlgn val="ctr"/>
        <c:lblOffset val="100"/>
        <c:tickLblSkip val="3"/>
        <c:tickMarkSkip val="1"/>
      </c:catAx>
      <c:valAx>
        <c:axId val="129693184"/>
        <c:scaling>
          <c:orientation val="minMax"/>
        </c:scaling>
        <c:axPos val="l"/>
        <c:majorGridlines>
          <c:spPr>
            <a:ln w="12700">
              <a:solidFill>
                <a:srgbClr val="FF0000"/>
              </a:solidFill>
              <a:prstDash val="solid"/>
            </a:ln>
          </c:spPr>
        </c:majorGridlines>
        <c:numFmt formatCode="0.0%" sourceLinked="1"/>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129691648"/>
        <c:crosses val="autoZero"/>
        <c:crossBetween val="between"/>
      </c:valAx>
      <c:spPr>
        <a:noFill/>
        <a:ln w="25400">
          <a:noFill/>
        </a:ln>
      </c:spPr>
    </c:plotArea>
    <c:legend>
      <c:legendPos val="r"/>
      <c:layout>
        <c:manualLayout>
          <c:xMode val="edge"/>
          <c:yMode val="edge"/>
          <c:x val="0.26788990825688597"/>
          <c:y val="0.36000043945366528"/>
          <c:w val="0.38348623853211394"/>
          <c:h val="6.0000073242277012E-2"/>
        </c:manualLayout>
      </c:layout>
      <c:spPr>
        <a:no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CC"/>
    </a:solidFill>
    <a:ln w="9525">
      <a:noFill/>
    </a:ln>
  </c:spPr>
  <c:txPr>
    <a:bodyPr/>
    <a:lstStyle/>
    <a:p>
      <a:pPr>
        <a:defRPr sz="500" b="0" i="0" u="none" strike="noStrike" baseline="0">
          <a:solidFill>
            <a:srgbClr val="000000"/>
          </a:solidFill>
          <a:latin typeface="Arial"/>
          <a:ea typeface="Arial"/>
          <a:cs typeface="Arial"/>
        </a:defRPr>
      </a:pPr>
      <a:endParaRPr lang="es-ES"/>
    </a:p>
  </c:txPr>
  <c:printSettings>
    <c:headerFooter alignWithMargins="0"/>
    <c:pageMargins b="1" l="0.75000000000000777" r="0.75000000000000777" t="1" header="0" footer="0"/>
    <c:pageSetup orientation="landscape"/>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PRETOT</a:t>
            </a:r>
            <a:r>
              <a:rPr lang="es-ES" baseline="0"/>
              <a:t> </a:t>
            </a:r>
            <a:endParaRPr lang="es-ES"/>
          </a:p>
        </c:rich>
      </c:tx>
      <c:layout/>
      <c:overlay val="1"/>
    </c:title>
    <c:plotArea>
      <c:layout>
        <c:manualLayout>
          <c:layoutTarget val="inner"/>
          <c:xMode val="edge"/>
          <c:yMode val="edge"/>
          <c:x val="0.15300218722659692"/>
          <c:y val="0.21844642821929913"/>
          <c:w val="0.80617825896762907"/>
          <c:h val="0.50678890666869314"/>
        </c:manualLayout>
      </c:layout>
      <c:lineChart>
        <c:grouping val="standard"/>
        <c:ser>
          <c:idx val="0"/>
          <c:order val="0"/>
          <c:tx>
            <c:strRef>
              <c:f>'17-Precios EE-análisis históri '!$I$103:$K$103</c:f>
              <c:strCache>
                <c:ptCount val="1"/>
                <c:pt idx="0">
                  <c:v>PRETOT   c/kWh2011</c:v>
                </c:pt>
              </c:strCache>
            </c:strRef>
          </c:tx>
          <c:marker>
            <c:symbol val="none"/>
          </c:marker>
          <c:cat>
            <c:numRef>
              <c:f>'17-Precios EE-análisis históri '!$L$102:$U$102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'17-Precios EE-análisis históri '!$L$103:$U$103</c:f>
              <c:numCache>
                <c:formatCode>0.00</c:formatCode>
                <c:ptCount val="10"/>
                <c:pt idx="0">
                  <c:v>15.614571935168714</c:v>
                </c:pt>
                <c:pt idx="1">
                  <c:v>15.888349709447635</c:v>
                </c:pt>
                <c:pt idx="2">
                  <c:v>17.536001493606811</c:v>
                </c:pt>
                <c:pt idx="3">
                  <c:v>18.964517179358481</c:v>
                </c:pt>
                <c:pt idx="4">
                  <c:v>19.029090146491477</c:v>
                </c:pt>
                <c:pt idx="5">
                  <c:v>21.802822386680486</c:v>
                </c:pt>
                <c:pt idx="6">
                  <c:v>18.254718750314439</c:v>
                </c:pt>
                <c:pt idx="7">
                  <c:v>17.457589944308424</c:v>
                </c:pt>
                <c:pt idx="8">
                  <c:v>16.161095790781541</c:v>
                </c:pt>
                <c:pt idx="9">
                  <c:v>14.970462529084054</c:v>
                </c:pt>
              </c:numCache>
            </c:numRef>
          </c:val>
        </c:ser>
        <c:ser>
          <c:idx val="1"/>
          <c:order val="1"/>
          <c:tx>
            <c:strRef>
              <c:f>'17-Precios EE-análisis históri '!$I$75:$K$75</c:f>
              <c:strCache>
                <c:ptCount val="1"/>
                <c:pt idx="0">
                  <c:v>PRETOT   c/kWh1982</c:v>
                </c:pt>
              </c:strCache>
            </c:strRef>
          </c:tx>
          <c:marker>
            <c:symbol val="none"/>
          </c:marker>
          <c:cat>
            <c:numRef>
              <c:f>'17-Precios EE-análisis históri '!$L$102:$U$102</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'17-Precios EE-análisis históri '!$L$75:$U$75</c:f>
              <c:numCache>
                <c:formatCode>0.00</c:formatCode>
                <c:ptCount val="10"/>
                <c:pt idx="0">
                  <c:v>9.4588272299579703</c:v>
                </c:pt>
                <c:pt idx="1">
                  <c:v>9.6246733816846248</c:v>
                </c:pt>
                <c:pt idx="2">
                  <c:v>10.622770135550279</c:v>
                </c:pt>
                <c:pt idx="3">
                  <c:v>11.488120983649852</c:v>
                </c:pt>
                <c:pt idx="4">
                  <c:v>11.52723730027849</c:v>
                </c:pt>
                <c:pt idx="5">
                  <c:v>13.207478945777604</c:v>
                </c:pt>
                <c:pt idx="6">
                  <c:v>11.058146935286631</c:v>
                </c:pt>
                <c:pt idx="7">
                  <c:v>10.575270831648373</c:v>
                </c:pt>
                <c:pt idx="8">
                  <c:v>9.7898945655695897</c:v>
                </c:pt>
                <c:pt idx="9">
                  <c:v>9.0686455705028415</c:v>
                </c:pt>
              </c:numCache>
            </c:numRef>
          </c:val>
        </c:ser>
        <c:ser>
          <c:idx val="2"/>
          <c:order val="2"/>
          <c:tx>
            <c:strRef>
              <c:f>'17-Precios EE-análisis históri '!$D$6</c:f>
              <c:strCache>
                <c:ptCount val="1"/>
                <c:pt idx="0">
                  <c:v>Precio Corriente </c:v>
                </c:pt>
              </c:strCache>
            </c:strRef>
          </c:tx>
          <c:spPr>
            <a:ln>
              <a:solidFill>
                <a:srgbClr val="FFFF00"/>
              </a:solidFill>
            </a:ln>
          </c:spPr>
          <c:marker>
            <c:symbol val="none"/>
          </c:marker>
          <c:val>
            <c:numRef>
              <c:f>'17-Precios EE-análisis históri '!$D$42:$D$51</c:f>
              <c:numCache>
                <c:formatCode>_-* #,##0.00_-;\-* #,##0.00_-;_-* "-"??_-;_-@_-</c:formatCode>
                <c:ptCount val="10"/>
                <c:pt idx="0">
                  <c:v>11.590816859567546</c:v>
                </c:pt>
                <c:pt idx="1">
                  <c:v>11.844968405184359</c:v>
                </c:pt>
                <c:pt idx="2">
                  <c:v>13.45550883836369</c:v>
                </c:pt>
                <c:pt idx="3">
                  <c:v>14.916322166072346</c:v>
                </c:pt>
                <c:pt idx="4">
                  <c:v>15.601414293181154</c:v>
                </c:pt>
                <c:pt idx="5">
                  <c:v>19.426873793260178</c:v>
                </c:pt>
                <c:pt idx="6">
                  <c:v>16.651579988267596</c:v>
                </c:pt>
                <c:pt idx="7">
                  <c:v>16.483993582029687</c:v>
                </c:pt>
                <c:pt idx="8">
                  <c:v>16.161095790781541</c:v>
                </c:pt>
                <c:pt idx="9">
                  <c:v>15.862932410625607</c:v>
                </c:pt>
              </c:numCache>
            </c:numRef>
          </c:val>
        </c:ser>
        <c:marker val="1"/>
        <c:axId val="132924160"/>
        <c:axId val="132926464"/>
      </c:lineChart>
      <c:catAx>
        <c:axId val="132924160"/>
        <c:scaling>
          <c:orientation val="minMax"/>
        </c:scaling>
        <c:axPos val="b"/>
        <c:numFmt formatCode="General" sourceLinked="1"/>
        <c:tickLblPos val="nextTo"/>
        <c:crossAx val="132926464"/>
        <c:crosses val="autoZero"/>
        <c:auto val="1"/>
        <c:lblAlgn val="ctr"/>
        <c:lblOffset val="100"/>
      </c:catAx>
      <c:valAx>
        <c:axId val="132926464"/>
        <c:scaling>
          <c:orientation val="minMax"/>
        </c:scaling>
        <c:axPos val="l"/>
        <c:majorGridlines/>
        <c:title>
          <c:tx>
            <c:rich>
              <a:bodyPr rot="0" vert="horz"/>
              <a:lstStyle/>
              <a:p>
                <a:pPr>
                  <a:defRPr/>
                </a:pPr>
                <a:r>
                  <a:rPr lang="es-ES"/>
                  <a:t>¢ent/kwh</a:t>
                </a:r>
              </a:p>
              <a:p>
                <a:pPr>
                  <a:defRPr/>
                </a:pPr>
                <a:endParaRPr lang="es-ES"/>
              </a:p>
            </c:rich>
          </c:tx>
          <c:layout>
            <c:manualLayout>
              <c:xMode val="edge"/>
              <c:yMode val="edge"/>
              <c:x val="0.15277777777777779"/>
              <c:y val="0.15368432661247056"/>
            </c:manualLayout>
          </c:layout>
        </c:title>
        <c:numFmt formatCode="0" sourceLinked="0"/>
        <c:tickLblPos val="nextTo"/>
        <c:crossAx val="132924160"/>
        <c:crosses val="autoZero"/>
        <c:crossBetween val="between"/>
      </c:valA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lotArea>
    <c:legend>
      <c:legendPos val="b"/>
      <c:layout/>
    </c:legend>
    <c:plotVisOnly val="1"/>
  </c:chart>
  <c:printSettings>
    <c:headerFooter/>
    <c:pageMargins b="0.750000000000001" l="0.70000000000000062" r="0.70000000000000062" t="0.750000000000001"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600"/>
              <a:t>EVOLUCION</a:t>
            </a:r>
            <a:r>
              <a:rPr lang="es-ES" sz="1600" baseline="0"/>
              <a:t> DE PRECIOS REALES </a:t>
            </a:r>
          </a:p>
          <a:p>
            <a:pPr>
              <a:defRPr/>
            </a:pPr>
            <a:r>
              <a:rPr lang="es-ES" sz="1600" baseline="0"/>
              <a:t>  DE ELECTRICIDAD </a:t>
            </a:r>
            <a:endParaRPr lang="es-ES" sz="1600"/>
          </a:p>
        </c:rich>
      </c:tx>
      <c:layout>
        <c:manualLayout>
          <c:xMode val="edge"/>
          <c:yMode val="edge"/>
          <c:x val="0.22897222222222224"/>
          <c:y val="2.7777777777777776E-2"/>
        </c:manualLayout>
      </c:layout>
      <c:overlay val="1"/>
    </c:title>
    <c:plotArea>
      <c:layout>
        <c:manualLayout>
          <c:layoutTarget val="inner"/>
          <c:xMode val="edge"/>
          <c:yMode val="edge"/>
          <c:x val="7.8932852143482071E-2"/>
          <c:y val="0.24121536891221931"/>
          <c:w val="0.86700284339457567"/>
          <c:h val="0.52970654709827936"/>
        </c:manualLayout>
      </c:layout>
      <c:lineChart>
        <c:grouping val="standard"/>
        <c:ser>
          <c:idx val="2"/>
          <c:order val="0"/>
          <c:tx>
            <c:strRef>
              <c:f>'18-Evolucion de Precio Real EE'!$C$2</c:f>
              <c:strCache>
                <c:ptCount val="1"/>
                <c:pt idx="0">
                  <c:v>PRETOT</c:v>
                </c:pt>
              </c:strCache>
            </c:strRef>
          </c:tx>
          <c:spPr>
            <a:ln>
              <a:solidFill>
                <a:srgbClr val="FF0000"/>
              </a:solidFill>
            </a:ln>
          </c:spPr>
          <c:marker>
            <c:symbol val="none"/>
          </c:marker>
          <c:trendline>
            <c:trendlineType val="poly"/>
            <c:order val="4"/>
            <c:dispRSqr val="1"/>
            <c:dispEq val="1"/>
            <c:trendlineLbl>
              <c:layout>
                <c:manualLayout>
                  <c:x val="-0.10497922134733158"/>
                  <c:y val="-7.1225940507436566E-2"/>
                </c:manualLayout>
              </c:layout>
              <c:numFmt formatCode="General" sourceLinked="0"/>
              <c:txPr>
                <a:bodyPr/>
                <a:lstStyle/>
                <a:p>
                  <a:pPr>
                    <a:defRPr sz="600"/>
                  </a:pPr>
                  <a:endParaRPr lang="es-ES"/>
                </a:p>
              </c:txPr>
            </c:trendlineLbl>
          </c:trendline>
          <c:cat>
            <c:numRef>
              <c:f>'18-Evolucion de Precio Real EE'!$B$7:$B$49</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'18-Evolucion de Precio Real EE'!$C$7:$C$49</c:f>
              <c:numCache>
                <c:formatCode>#,##0.00</c:formatCode>
                <c:ptCount val="43"/>
                <c:pt idx="0">
                  <c:v>6.5575389345533859</c:v>
                </c:pt>
                <c:pt idx="1">
                  <c:v>6.915560460917396</c:v>
                </c:pt>
                <c:pt idx="2">
                  <c:v>6.7963367952326887</c:v>
                </c:pt>
                <c:pt idx="3">
                  <c:v>6.2572290671360324</c:v>
                </c:pt>
                <c:pt idx="4">
                  <c:v>7.7223273860373398</c:v>
                </c:pt>
                <c:pt idx="5">
                  <c:v>8.5331412103746409</c:v>
                </c:pt>
                <c:pt idx="6">
                  <c:v>8.3464835837769105</c:v>
                </c:pt>
                <c:pt idx="7">
                  <c:v>9.5978621181222703</c:v>
                </c:pt>
                <c:pt idx="8">
                  <c:v>10.091717593305599</c:v>
                </c:pt>
                <c:pt idx="9">
                  <c:v>9.6064687097002643</c:v>
                </c:pt>
                <c:pt idx="10">
                  <c:v>10.918351537031539</c:v>
                </c:pt>
                <c:pt idx="11">
                  <c:v>11.025703953952993</c:v>
                </c:pt>
                <c:pt idx="12">
                  <c:v>11.446142823023646</c:v>
                </c:pt>
                <c:pt idx="13">
                  <c:v>12.174077502478633</c:v>
                </c:pt>
                <c:pt idx="14">
                  <c:v>12.099878742215367</c:v>
                </c:pt>
                <c:pt idx="15">
                  <c:v>11.531669392621657</c:v>
                </c:pt>
                <c:pt idx="16">
                  <c:v>11.283893311773101</c:v>
                </c:pt>
                <c:pt idx="17">
                  <c:v>11.006526402263702</c:v>
                </c:pt>
                <c:pt idx="18">
                  <c:v>10.860992406008346</c:v>
                </c:pt>
                <c:pt idx="19">
                  <c:v>10.977240008226504</c:v>
                </c:pt>
                <c:pt idx="20">
                  <c:v>10.840248215196695</c:v>
                </c:pt>
                <c:pt idx="21">
                  <c:v>10.692143811138333</c:v>
                </c:pt>
                <c:pt idx="22">
                  <c:v>10.320843681805142</c:v>
                </c:pt>
                <c:pt idx="23">
                  <c:v>10.197490145603734</c:v>
                </c:pt>
                <c:pt idx="24">
                  <c:v>10.111816743850719</c:v>
                </c:pt>
                <c:pt idx="25">
                  <c:v>9.9438167466939102</c:v>
                </c:pt>
                <c:pt idx="26">
                  <c:v>9.7189760832281973</c:v>
                </c:pt>
                <c:pt idx="27">
                  <c:v>9.4328132530970503</c:v>
                </c:pt>
                <c:pt idx="28">
                  <c:v>9.4774783801196083</c:v>
                </c:pt>
                <c:pt idx="29">
                  <c:v>8.5173837753665786</c:v>
                </c:pt>
                <c:pt idx="30">
                  <c:v>9.3479942810496794</c:v>
                </c:pt>
                <c:pt idx="31">
                  <c:v>9.6486467023080333</c:v>
                </c:pt>
                <c:pt idx="32">
                  <c:v>8.9401585347098429</c:v>
                </c:pt>
                <c:pt idx="33">
                  <c:v>9.4588272299579721</c:v>
                </c:pt>
                <c:pt idx="34">
                  <c:v>9.6246733816846248</c:v>
                </c:pt>
                <c:pt idx="35">
                  <c:v>10.622770135550279</c:v>
                </c:pt>
                <c:pt idx="36">
                  <c:v>11.488120983649852</c:v>
                </c:pt>
                <c:pt idx="37">
                  <c:v>11.52723730027849</c:v>
                </c:pt>
                <c:pt idx="38">
                  <c:v>13.207478945777604</c:v>
                </c:pt>
                <c:pt idx="39">
                  <c:v>11.058146935286631</c:v>
                </c:pt>
                <c:pt idx="40">
                  <c:v>10.575270831648373</c:v>
                </c:pt>
                <c:pt idx="41">
                  <c:v>9.7898945655695861</c:v>
                </c:pt>
                <c:pt idx="42">
                  <c:v>9.0686455705028415</c:v>
                </c:pt>
              </c:numCache>
            </c:numRef>
          </c:val>
        </c:ser>
        <c:ser>
          <c:idx val="4"/>
          <c:order val="1"/>
          <c:tx>
            <c:strRef>
              <c:f>'18-Evolucion de Precio Real EE'!$F$2</c:f>
              <c:strCache>
                <c:ptCount val="1"/>
                <c:pt idx="0">
                  <c:v>USA  ELECTRICAL REAL </c:v>
                </c:pt>
              </c:strCache>
            </c:strRef>
          </c:tx>
          <c:marker>
            <c:symbol val="none"/>
          </c:marker>
          <c:cat>
            <c:numRef>
              <c:f>'18-Evolucion de Precio Real EE'!$B$7:$B$49</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'18-Evolucion de Precio Real EE'!$G$7:$G$48</c:f>
              <c:numCache>
                <c:formatCode>0.00</c:formatCode>
                <c:ptCount val="42"/>
                <c:pt idx="0">
                  <c:v>3.8738495702594902</c:v>
                </c:pt>
                <c:pt idx="1">
                  <c:v>3.9063799788508984</c:v>
                </c:pt>
                <c:pt idx="2">
                  <c:v>3.9529473605166321</c:v>
                </c:pt>
                <c:pt idx="3">
                  <c:v>3.9422310756972108</c:v>
                </c:pt>
                <c:pt idx="4">
                  <c:v>4.5176754500391327</c:v>
                </c:pt>
                <c:pt idx="5">
                  <c:v>4.7878556744033611</c:v>
                </c:pt>
                <c:pt idx="6">
                  <c:v>4.8402941756600635</c:v>
                </c:pt>
                <c:pt idx="7">
                  <c:v>4.9906174670869632</c:v>
                </c:pt>
                <c:pt idx="8">
                  <c:v>5.0748613861386129</c:v>
                </c:pt>
                <c:pt idx="9">
                  <c:v>5.0649665227028624</c:v>
                </c:pt>
                <c:pt idx="10">
                  <c:v>5.4540512240581345</c:v>
                </c:pt>
                <c:pt idx="11">
                  <c:v>5.8356342747726178</c:v>
                </c:pt>
                <c:pt idx="12">
                  <c:v>6.1</c:v>
                </c:pt>
                <c:pt idx="13">
                  <c:v>6.0603718556325177</c:v>
                </c:pt>
                <c:pt idx="14">
                  <c:v>5.7946825954556109</c:v>
                </c:pt>
                <c:pt idx="15">
                  <c:v>5.7953306483045344</c:v>
                </c:pt>
                <c:pt idx="16">
                  <c:v>5.6700077855633415</c:v>
                </c:pt>
                <c:pt idx="17">
                  <c:v>5.4501642888024202</c:v>
                </c:pt>
                <c:pt idx="18">
                  <c:v>5.2526751059891312</c:v>
                </c:pt>
                <c:pt idx="19">
                  <c:v>5.1412209787393186</c:v>
                </c:pt>
                <c:pt idx="20">
                  <c:v>5.0422686666389653</c:v>
                </c:pt>
                <c:pt idx="21">
                  <c:v>5.0030898876404484</c:v>
                </c:pt>
                <c:pt idx="22">
                  <c:v>4.9378678478564799</c:v>
                </c:pt>
                <c:pt idx="23">
                  <c:v>4.9090453057885037</c:v>
                </c:pt>
                <c:pt idx="24">
                  <c:v>4.7938817107371792</c:v>
                </c:pt>
                <c:pt idx="25">
                  <c:v>4.6824553571428567</c:v>
                </c:pt>
                <c:pt idx="26">
                  <c:v>4.5749845946466401</c:v>
                </c:pt>
                <c:pt idx="27">
                  <c:v>4.4890568269173903</c:v>
                </c:pt>
                <c:pt idx="28">
                  <c:v>4.3675887312743384</c:v>
                </c:pt>
                <c:pt idx="29">
                  <c:v>4.2404536234556511</c:v>
                </c:pt>
                <c:pt idx="30">
                  <c:v>4.2568357643236654</c:v>
                </c:pt>
                <c:pt idx="31">
                  <c:v>4.4561884169884172</c:v>
                </c:pt>
                <c:pt idx="32">
                  <c:v>4.3310362795544837</c:v>
                </c:pt>
                <c:pt idx="33">
                  <c:v>4.3811400637619551</c:v>
                </c:pt>
                <c:pt idx="34">
                  <c:v>4.3576038028314557</c:v>
                </c:pt>
                <c:pt idx="35">
                  <c:v>4.5105367999999997</c:v>
                </c:pt>
                <c:pt idx="36">
                  <c:v>4.7761100942308987</c:v>
                </c:pt>
                <c:pt idx="37">
                  <c:v>4.7631344267234068</c:v>
                </c:pt>
                <c:pt idx="38">
                  <c:v>4.9750917655300828</c:v>
                </c:pt>
                <c:pt idx="39">
                  <c:v>4.9924813701375603</c:v>
                </c:pt>
                <c:pt idx="40">
                  <c:v>4.9117230971601558</c:v>
                </c:pt>
                <c:pt idx="41">
                  <c:v>4.7866845373359119</c:v>
                </c:pt>
              </c:numCache>
            </c:numRef>
          </c:val>
        </c:ser>
        <c:marker val="1"/>
        <c:axId val="133150592"/>
        <c:axId val="133152768"/>
      </c:lineChart>
      <c:catAx>
        <c:axId val="133150592"/>
        <c:scaling>
          <c:orientation val="minMax"/>
        </c:scaling>
        <c:axPos val="b"/>
        <c:title>
          <c:tx>
            <c:rich>
              <a:bodyPr/>
              <a:lstStyle/>
              <a:p>
                <a:pPr>
                  <a:defRPr/>
                </a:pPr>
                <a:r>
                  <a:rPr lang="es-ES"/>
                  <a:t>Años</a:t>
                </a:r>
              </a:p>
            </c:rich>
          </c:tx>
          <c:layout>
            <c:manualLayout>
              <c:xMode val="edge"/>
              <c:yMode val="edge"/>
              <c:x val="0.47522594050743655"/>
              <c:y val="0.85352216389617963"/>
            </c:manualLayout>
          </c:layout>
        </c:title>
        <c:numFmt formatCode="General" sourceLinked="1"/>
        <c:tickLblPos val="nextTo"/>
        <c:txPr>
          <a:bodyPr/>
          <a:lstStyle/>
          <a:p>
            <a:pPr>
              <a:defRPr sz="900"/>
            </a:pPr>
            <a:endParaRPr lang="es-ES"/>
          </a:p>
        </c:txPr>
        <c:crossAx val="133152768"/>
        <c:crosses val="autoZero"/>
        <c:auto val="1"/>
        <c:lblAlgn val="ctr"/>
        <c:lblOffset val="100"/>
        <c:tickLblSkip val="5"/>
      </c:catAx>
      <c:valAx>
        <c:axId val="133152768"/>
        <c:scaling>
          <c:orientation val="minMax"/>
        </c:scaling>
        <c:axPos val="l"/>
        <c:majorGridlines/>
        <c:title>
          <c:tx>
            <c:rich>
              <a:bodyPr rot="0" vert="horz"/>
              <a:lstStyle/>
              <a:p>
                <a:pPr>
                  <a:defRPr/>
                </a:pPr>
                <a:r>
                  <a:rPr lang="es-ES"/>
                  <a:t>C/kWh</a:t>
                </a:r>
              </a:p>
            </c:rich>
          </c:tx>
          <c:layout>
            <c:manualLayout>
              <c:xMode val="edge"/>
              <c:yMode val="edge"/>
              <c:x val="0.10833343200520988"/>
              <c:y val="0.21925654642006959"/>
            </c:manualLayout>
          </c:layout>
        </c:title>
        <c:numFmt formatCode="#,##0" sourceLinked="0"/>
        <c:tickLblPos val="nextTo"/>
        <c:crossAx val="133150592"/>
        <c:crosses val="autoZero"/>
        <c:crossBetween val="between"/>
      </c:valAx>
      <c:spPr>
        <a:noFill/>
        <a:ln w="25400">
          <a:noFill/>
        </a:ln>
      </c:spPr>
    </c:plotArea>
    <c:legend>
      <c:legendPos val="b"/>
      <c:layout>
        <c:manualLayout>
          <c:xMode val="edge"/>
          <c:yMode val="edge"/>
          <c:x val="0.1382276902887139"/>
          <c:y val="0.94406058617672794"/>
          <c:w val="0.74576662292213469"/>
          <c:h val="5.593941382327209E-2"/>
        </c:manualLayout>
      </c:layout>
    </c:legend>
    <c:plotVisOnly val="1"/>
  </c:chart>
  <c:spPr>
    <a:gradFill>
      <a:gsLst>
        <a:gs pos="0">
          <a:srgbClr val="5E9EFF"/>
        </a:gs>
        <a:gs pos="39999">
          <a:srgbClr val="85C2FF"/>
        </a:gs>
        <a:gs pos="70000">
          <a:srgbClr val="C4D6EB"/>
        </a:gs>
        <a:gs pos="100000">
          <a:srgbClr val="FFEBFA"/>
        </a:gs>
      </a:gsLst>
      <a:lin ang="5400000" scaled="0"/>
    </a:gradFill>
  </c:spPr>
  <c:printSettings>
    <c:headerFooter/>
    <c:pageMargins b="0.75000000000000377" l="0.70000000000000062" r="0.70000000000000062" t="0.75000000000000377"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200" b="1" i="0" u="none" strike="noStrike" baseline="0">
                <a:solidFill>
                  <a:srgbClr val="000000"/>
                </a:solidFill>
                <a:latin typeface="Arial"/>
                <a:ea typeface="Arial"/>
                <a:cs typeface="Arial"/>
              </a:defRPr>
            </a:pPr>
            <a:r>
              <a:rPr lang="es-ES"/>
              <a:t>TASAS DE CRECIMIENTO DEL PIB</a:t>
            </a:r>
          </a:p>
        </c:rich>
      </c:tx>
      <c:layout>
        <c:manualLayout>
          <c:xMode val="edge"/>
          <c:yMode val="edge"/>
          <c:x val="0.24431863369775741"/>
          <c:y val="7.6655052264808357E-2"/>
        </c:manualLayout>
      </c:layout>
      <c:spPr>
        <a:noFill/>
        <a:ln w="25400">
          <a:noFill/>
        </a:ln>
      </c:spPr>
    </c:title>
    <c:plotArea>
      <c:layout>
        <c:manualLayout>
          <c:layoutTarget val="inner"/>
          <c:xMode val="edge"/>
          <c:yMode val="edge"/>
          <c:x val="0.12582478326572816"/>
          <c:y val="8.4824817458565363E-2"/>
          <c:w val="0.86363796097811862"/>
          <c:h val="0.88850174216027877"/>
        </c:manualLayout>
      </c:layout>
      <c:lineChart>
        <c:grouping val="standard"/>
        <c:ser>
          <c:idx val="0"/>
          <c:order val="0"/>
          <c:tx>
            <c:strRef>
              <c:f>'11-PIB-Moderado Base-1982'!$B$6</c:f>
              <c:strCache>
                <c:ptCount val="1"/>
                <c:pt idx="0">
                  <c:v>PIB REAL</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Pt>
            <c:idx val="36"/>
            <c:spPr>
              <a:ln w="12700">
                <a:solidFill>
                  <a:srgbClr val="00FF00"/>
                </a:solidFill>
                <a:prstDash val="solid"/>
              </a:ln>
            </c:spPr>
          </c:dPt>
          <c:dPt>
            <c:idx val="37"/>
            <c:spPr>
              <a:ln w="12700">
                <a:solidFill>
                  <a:srgbClr val="00FF00"/>
                </a:solidFill>
                <a:prstDash val="solid"/>
              </a:ln>
            </c:spPr>
          </c:dPt>
          <c:dPt>
            <c:idx val="39"/>
            <c:spPr>
              <a:ln w="12700">
                <a:solidFill>
                  <a:srgbClr val="00FF00"/>
                </a:solidFill>
                <a:prstDash val="solid"/>
              </a:ln>
            </c:spPr>
          </c:dPt>
          <c:dPt>
            <c:idx val="41"/>
            <c:spPr>
              <a:ln w="12700">
                <a:solidFill>
                  <a:srgbClr val="00FF00"/>
                </a:solidFill>
                <a:prstDash val="solid"/>
              </a:ln>
            </c:spPr>
          </c:dPt>
          <c:dPt>
            <c:idx val="42"/>
            <c:spPr>
              <a:ln w="12700">
                <a:solidFill>
                  <a:srgbClr val="00FF00"/>
                </a:solidFill>
                <a:prstDash val="solid"/>
              </a:ln>
            </c:spPr>
          </c:dPt>
          <c:dPt>
            <c:idx val="43"/>
            <c:spPr>
              <a:ln w="12700">
                <a:solidFill>
                  <a:srgbClr val="00FF00"/>
                </a:solidFill>
                <a:prstDash val="solid"/>
              </a:ln>
            </c:spPr>
          </c:dPt>
          <c:dPt>
            <c:idx val="44"/>
            <c:spPr>
              <a:ln w="12700">
                <a:solidFill>
                  <a:srgbClr val="00FF00"/>
                </a:solidFill>
                <a:prstDash val="solid"/>
              </a:ln>
            </c:spPr>
          </c:dPt>
          <c:dPt>
            <c:idx val="45"/>
            <c:spPr>
              <a:ln w="12700">
                <a:solidFill>
                  <a:srgbClr val="00FF00"/>
                </a:solidFill>
                <a:prstDash val="solid"/>
              </a:ln>
            </c:spPr>
          </c:dPt>
          <c:dPt>
            <c:idx val="46"/>
            <c:spPr>
              <a:ln w="12700">
                <a:solidFill>
                  <a:srgbClr val="00FF00"/>
                </a:solidFill>
                <a:prstDash val="solid"/>
              </a:ln>
            </c:spPr>
          </c:dPt>
          <c:dPt>
            <c:idx val="47"/>
            <c:spPr>
              <a:ln w="12700">
                <a:solidFill>
                  <a:srgbClr val="00FF00"/>
                </a:solidFill>
                <a:prstDash val="solid"/>
              </a:ln>
            </c:spPr>
          </c:dPt>
          <c:dPt>
            <c:idx val="48"/>
            <c:spPr>
              <a:ln w="12700">
                <a:solidFill>
                  <a:srgbClr val="00FF00"/>
                </a:solidFill>
                <a:prstDash val="solid"/>
              </a:ln>
            </c:spPr>
          </c:dPt>
          <c:dPt>
            <c:idx val="49"/>
            <c:spPr>
              <a:ln w="12700">
                <a:solidFill>
                  <a:srgbClr val="00FF00"/>
                </a:solidFill>
                <a:prstDash val="solid"/>
              </a:ln>
            </c:spPr>
          </c:dPt>
          <c:dPt>
            <c:idx val="50"/>
            <c:spPr>
              <a:ln w="12700">
                <a:solidFill>
                  <a:srgbClr val="00FF00"/>
                </a:solidFill>
                <a:prstDash val="solid"/>
              </a:ln>
            </c:spPr>
          </c:dPt>
          <c:cat>
            <c:numRef>
              <c:f>'11-PIB-Moderado Base-1982'!$A$8:$A$64</c:f>
              <c:numCache>
                <c:formatCode>General</c:formatCode>
                <c:ptCount val="5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pt idx="51">
                  <c:v>2022</c:v>
                </c:pt>
                <c:pt idx="52">
                  <c:v>2023</c:v>
                </c:pt>
                <c:pt idx="53">
                  <c:v>2024</c:v>
                </c:pt>
                <c:pt idx="54">
                  <c:v>2025</c:v>
                </c:pt>
                <c:pt idx="55">
                  <c:v>2026</c:v>
                </c:pt>
                <c:pt idx="56">
                  <c:v>2027</c:v>
                </c:pt>
              </c:numCache>
            </c:numRef>
          </c:cat>
          <c:val>
            <c:numRef>
              <c:f>'11-PIB-Moderado Base-1982'!$C$8:$C$64</c:f>
              <c:numCache>
                <c:formatCode>0.0%</c:formatCode>
                <c:ptCount val="57"/>
                <c:pt idx="0">
                  <c:v>9.6211987457491752E-2</c:v>
                </c:pt>
                <c:pt idx="1">
                  <c:v>4.3231153250197878E-2</c:v>
                </c:pt>
                <c:pt idx="2">
                  <c:v>4.9962342985212994E-2</c:v>
                </c:pt>
                <c:pt idx="3">
                  <c:v>2.8405277019619448E-2</c:v>
                </c:pt>
                <c:pt idx="4">
                  <c:v>2.2337956233703226E-3</c:v>
                </c:pt>
                <c:pt idx="5">
                  <c:v>1.3417945895621576E-2</c:v>
                </c:pt>
                <c:pt idx="6">
                  <c:v>1.2370460765502359E-2</c:v>
                </c:pt>
                <c:pt idx="7">
                  <c:v>0.10535490626364775</c:v>
                </c:pt>
                <c:pt idx="8">
                  <c:v>4.6311211526067188E-2</c:v>
                </c:pt>
                <c:pt idx="9">
                  <c:v>0.19937617774075858</c:v>
                </c:pt>
                <c:pt idx="10">
                  <c:v>9.206809127127856E-2</c:v>
                </c:pt>
                <c:pt idx="11">
                  <c:v>5.3484567082338293E-2</c:v>
                </c:pt>
                <c:pt idx="12">
                  <c:v>-4.4913635695846346E-2</c:v>
                </c:pt>
                <c:pt idx="13">
                  <c:v>2.709473267848906E-2</c:v>
                </c:pt>
                <c:pt idx="14">
                  <c:v>4.9422336328626436E-2</c:v>
                </c:pt>
                <c:pt idx="15">
                  <c:v>3.5677879714576956E-2</c:v>
                </c:pt>
                <c:pt idx="16">
                  <c:v>-1.8090551181102466E-2</c:v>
                </c:pt>
                <c:pt idx="17">
                  <c:v>-0.13379844028788526</c:v>
                </c:pt>
                <c:pt idx="18">
                  <c:v>1.5622468581480064E-2</c:v>
                </c:pt>
                <c:pt idx="19">
                  <c:v>8.0989927532929329E-2</c:v>
                </c:pt>
                <c:pt idx="20">
                  <c:v>9.4190066616072002E-2</c:v>
                </c:pt>
                <c:pt idx="21">
                  <c:v>8.2016800246609081E-2</c:v>
                </c:pt>
                <c:pt idx="22">
                  <c:v>5.455743309413999E-2</c:v>
                </c:pt>
                <c:pt idx="23">
                  <c:v>2.8501477416631522E-2</c:v>
                </c:pt>
                <c:pt idx="24">
                  <c:v>1.7516786236107206E-2</c:v>
                </c:pt>
                <c:pt idx="25">
                  <c:v>2.8105840593740033E-2</c:v>
                </c:pt>
                <c:pt idx="26">
                  <c:v>6.8277299002340711E-2</c:v>
                </c:pt>
                <c:pt idx="27">
                  <c:v>2.0554974246326126E-2</c:v>
                </c:pt>
                <c:pt idx="28">
                  <c:v>3.2056080147397754E-2</c:v>
                </c:pt>
                <c:pt idx="29">
                  <c:v>2.4519170420786669E-2</c:v>
                </c:pt>
                <c:pt idx="30">
                  <c:v>3.6633822777340547E-3</c:v>
                </c:pt>
                <c:pt idx="31">
                  <c:v>4.2001212922989521E-2</c:v>
                </c:pt>
                <c:pt idx="32">
                  <c:v>2.5991090057352784E-2</c:v>
                </c:pt>
                <c:pt idx="33">
                  <c:v>6.242767119155361E-2</c:v>
                </c:pt>
                <c:pt idx="34">
                  <c:v>8.4479688236196102E-2</c:v>
                </c:pt>
                <c:pt idx="35">
                  <c:v>7.784527122944504E-2</c:v>
                </c:pt>
                <c:pt idx="36">
                  <c:v>0.12406929034477256</c:v>
                </c:pt>
                <c:pt idx="37">
                  <c:v>0.10262936850490194</c:v>
                </c:pt>
                <c:pt idx="38">
                  <c:v>3.2751668763981591E-2</c:v>
                </c:pt>
                <c:pt idx="39">
                  <c:v>7.9305421358806444E-2</c:v>
                </c:pt>
                <c:pt idx="40">
                  <c:v>0.11608918005219702</c:v>
                </c:pt>
                <c:pt idx="41">
                  <c:v>9.3379194546871352E-2</c:v>
                </c:pt>
                <c:pt idx="42">
                  <c:v>7.6982573710851737E-2</c:v>
                </c:pt>
                <c:pt idx="43">
                  <c:v>5.9900000000000148E-2</c:v>
                </c:pt>
                <c:pt idx="44">
                  <c:v>5.862500000000001E-2</c:v>
                </c:pt>
                <c:pt idx="45">
                  <c:v>6.0999999999999915E-2</c:v>
                </c:pt>
                <c:pt idx="46">
                  <c:v>0.05</c:v>
                </c:pt>
                <c:pt idx="47">
                  <c:v>4.9999999999999989E-2</c:v>
                </c:pt>
                <c:pt idx="48">
                  <c:v>4.9999999999999989E-2</c:v>
                </c:pt>
                <c:pt idx="49">
                  <c:v>5.0000000000000031E-2</c:v>
                </c:pt>
                <c:pt idx="50">
                  <c:v>5.0000000000000086E-2</c:v>
                </c:pt>
                <c:pt idx="51">
                  <c:v>5.0000000000000072E-2</c:v>
                </c:pt>
                <c:pt idx="52">
                  <c:v>5.0000000000000031E-2</c:v>
                </c:pt>
                <c:pt idx="53">
                  <c:v>5.0000000000000058E-2</c:v>
                </c:pt>
                <c:pt idx="54">
                  <c:v>5.0000000000000079E-2</c:v>
                </c:pt>
                <c:pt idx="55">
                  <c:v>5.0000000000000079E-2</c:v>
                </c:pt>
                <c:pt idx="56">
                  <c:v>5.000000000000001E-2</c:v>
                </c:pt>
              </c:numCache>
            </c:numRef>
          </c:val>
        </c:ser>
        <c:ser>
          <c:idx val="1"/>
          <c:order val="1"/>
          <c:tx>
            <c:strRef>
              <c:f>'11-PIB-Moderado Base-1982'!$D$6</c:f>
              <c:strCache>
                <c:ptCount val="1"/>
                <c:pt idx="0">
                  <c:v>PIB IND</c:v>
                </c:pt>
              </c:strCache>
            </c:strRef>
          </c:tx>
          <c:spPr>
            <a:ln w="12700">
              <a:solidFill>
                <a:srgbClr val="FF00FF"/>
              </a:solidFill>
              <a:prstDash val="solid"/>
            </a:ln>
          </c:spPr>
          <c:marker>
            <c:symbol val="none"/>
          </c:marker>
          <c:cat>
            <c:numRef>
              <c:f>'11-PIB-Moderado Base-1982'!$A$8:$A$64</c:f>
              <c:numCache>
                <c:formatCode>General</c:formatCode>
                <c:ptCount val="5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pt idx="51">
                  <c:v>2022</c:v>
                </c:pt>
                <c:pt idx="52">
                  <c:v>2023</c:v>
                </c:pt>
                <c:pt idx="53">
                  <c:v>2024</c:v>
                </c:pt>
                <c:pt idx="54">
                  <c:v>2025</c:v>
                </c:pt>
                <c:pt idx="55">
                  <c:v>2026</c:v>
                </c:pt>
                <c:pt idx="56">
                  <c:v>2027</c:v>
                </c:pt>
              </c:numCache>
            </c:numRef>
          </c:cat>
          <c:val>
            <c:numRef>
              <c:f>'11-PIB-Moderado Base-1982'!$E$8:$E$64</c:f>
              <c:numCache>
                <c:formatCode>0.0%</c:formatCode>
                <c:ptCount val="57"/>
                <c:pt idx="0">
                  <c:v>6.3629222309505198E-2</c:v>
                </c:pt>
                <c:pt idx="1">
                  <c:v>4.5790251107828535E-2</c:v>
                </c:pt>
                <c:pt idx="2">
                  <c:v>6.28531073446328E-2</c:v>
                </c:pt>
                <c:pt idx="3">
                  <c:v>1.3289036544850611E-2</c:v>
                </c:pt>
                <c:pt idx="4">
                  <c:v>-3.6065573770491834E-2</c:v>
                </c:pt>
                <c:pt idx="5">
                  <c:v>2.5170068027210831E-2</c:v>
                </c:pt>
                <c:pt idx="6">
                  <c:v>1.194426011944253E-2</c:v>
                </c:pt>
                <c:pt idx="7">
                  <c:v>1.5737704918032797E-2</c:v>
                </c:pt>
                <c:pt idx="8">
                  <c:v>0.11039380245319565</c:v>
                </c:pt>
                <c:pt idx="9">
                  <c:v>4.0697674418604793E-2</c:v>
                </c:pt>
                <c:pt idx="10">
                  <c:v>-2.5413849382140308E-2</c:v>
                </c:pt>
                <c:pt idx="11">
                  <c:v>3.5885167464114832E-2</c:v>
                </c:pt>
                <c:pt idx="12">
                  <c:v>-2.1478060046189403E-2</c:v>
                </c:pt>
                <c:pt idx="13">
                  <c:v>6.8444654236488087E-2</c:v>
                </c:pt>
                <c:pt idx="14">
                  <c:v>5.6107797658493559E-2</c:v>
                </c:pt>
                <c:pt idx="15">
                  <c:v>6.9023216900229124E-3</c:v>
                </c:pt>
                <c:pt idx="16">
                  <c:v>6.8757789779808939E-2</c:v>
                </c:pt>
                <c:pt idx="17">
                  <c:v>-0.22468415937803699</c:v>
                </c:pt>
                <c:pt idx="18">
                  <c:v>1.3035848583605028E-2</c:v>
                </c:pt>
                <c:pt idx="19">
                  <c:v>0.13783716901756987</c:v>
                </c:pt>
                <c:pt idx="20">
                  <c:v>0.10461070030448014</c:v>
                </c:pt>
                <c:pt idx="21">
                  <c:v>9.1553455404607215E-2</c:v>
                </c:pt>
                <c:pt idx="22">
                  <c:v>6.3311688311688361E-2</c:v>
                </c:pt>
                <c:pt idx="23">
                  <c:v>4.2578456318914375E-2</c:v>
                </c:pt>
                <c:pt idx="24">
                  <c:v>1.9524894240155089E-3</c:v>
                </c:pt>
                <c:pt idx="25">
                  <c:v>-1.2504059759662118E-2</c:v>
                </c:pt>
                <c:pt idx="26">
                  <c:v>3.2558560188116224E-2</c:v>
                </c:pt>
                <c:pt idx="27">
                  <c:v>7.0395317357163117E-2</c:v>
                </c:pt>
                <c:pt idx="28">
                  <c:v>-7.4542478797797976E-2</c:v>
                </c:pt>
                <c:pt idx="29">
                  <c:v>-5.2733118971061019E-2</c:v>
                </c:pt>
                <c:pt idx="30">
                  <c:v>-5.7026476578411436E-2</c:v>
                </c:pt>
                <c:pt idx="31">
                  <c:v>-2.6210659651174181E-2</c:v>
                </c:pt>
                <c:pt idx="32">
                  <c:v>-3.4020412247348489E-2</c:v>
                </c:pt>
                <c:pt idx="33">
                  <c:v>2.0820385332504538E-2</c:v>
                </c:pt>
                <c:pt idx="34">
                  <c:v>4.200913242009148E-2</c:v>
                </c:pt>
                <c:pt idx="35">
                  <c:v>3.8757425260492653E-2</c:v>
                </c:pt>
                <c:pt idx="36">
                  <c:v>5.6248242242429941E-2</c:v>
                </c:pt>
                <c:pt idx="37" formatCode="0.00%">
                  <c:v>3.9230851158249973E-2</c:v>
                </c:pt>
                <c:pt idx="38" formatCode="0.00%">
                  <c:v>-5.9794957969988701E-3</c:v>
                </c:pt>
                <c:pt idx="39" formatCode="0.00%">
                  <c:v>1.0997508377008186E-2</c:v>
                </c:pt>
                <c:pt idx="40" formatCode="0.00%">
                  <c:v>3.2293702727967923E-2</c:v>
                </c:pt>
                <c:pt idx="41" formatCode="0.00%">
                  <c:v>3.3694027049069486E-2</c:v>
                </c:pt>
                <c:pt idx="42" formatCode="0.00%">
                  <c:v>1.6996528014536594E-2</c:v>
                </c:pt>
                <c:pt idx="43" formatCode="0.00%">
                  <c:v>3.928571428571416E-2</c:v>
                </c:pt>
                <c:pt idx="44" formatCode="0.00%">
                  <c:v>7.9037800687285317E-2</c:v>
                </c:pt>
                <c:pt idx="45" formatCode="0.00%">
                  <c:v>3.2554847841472161E-2</c:v>
                </c:pt>
                <c:pt idx="46" formatCode="0.00%">
                  <c:v>3.7011651816312587E-2</c:v>
                </c:pt>
                <c:pt idx="47" formatCode="0.00%">
                  <c:v>4.1639127561136746E-2</c:v>
                </c:pt>
                <c:pt idx="48" formatCode="0.00%">
                  <c:v>3.8388324873096555E-2</c:v>
                </c:pt>
                <c:pt idx="49" formatCode="0.00%">
                  <c:v>4.1857622975863158E-2</c:v>
                </c:pt>
                <c:pt idx="50" formatCode="0.00%">
                  <c:v>3.6950146627566162E-2</c:v>
                </c:pt>
                <c:pt idx="51" formatCode="0.00%">
                  <c:v>3.4219457013574511E-2</c:v>
                </c:pt>
                <c:pt idx="52" formatCode="0.00%">
                  <c:v>3.0352748154224809E-2</c:v>
                </c:pt>
                <c:pt idx="53" formatCode="0.00%">
                  <c:v>5.2016985138004207E-2</c:v>
                </c:pt>
                <c:pt idx="54" formatCode="0.00%">
                  <c:v>3.4308779011099785E-2</c:v>
                </c:pt>
                <c:pt idx="55" formatCode="0.00%">
                  <c:v>3.7542500357029808E-2</c:v>
                </c:pt>
                <c:pt idx="56" formatCode="0.00%">
                  <c:v>3.7542500357029746E-2</c:v>
                </c:pt>
              </c:numCache>
            </c:numRef>
          </c:val>
        </c:ser>
        <c:marker val="1"/>
        <c:axId val="125158528"/>
        <c:axId val="125160064"/>
      </c:lineChart>
      <c:catAx>
        <c:axId val="125158528"/>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s-ES"/>
          </a:p>
        </c:txPr>
        <c:crossAx val="125160064"/>
        <c:crosses val="autoZero"/>
        <c:auto val="1"/>
        <c:lblAlgn val="ctr"/>
        <c:lblOffset val="100"/>
        <c:tickLblSkip val="3"/>
        <c:tickMarkSkip val="5"/>
      </c:catAx>
      <c:valAx>
        <c:axId val="125160064"/>
        <c:scaling>
          <c:orientation val="minMax"/>
        </c:scaling>
        <c:axPos val="l"/>
        <c:majorGridlines>
          <c:spPr>
            <a:ln w="3175">
              <a:solidFill>
                <a:srgbClr val="000000"/>
              </a:solidFill>
              <a:prstDash val="solid"/>
            </a:ln>
          </c:spPr>
        </c:majorGridlines>
        <c:numFmt formatCode="0.0%" sourceLinked="1"/>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s-ES"/>
          </a:p>
        </c:txPr>
        <c:crossAx val="125158528"/>
        <c:crosses val="autoZero"/>
        <c:crossBetween val="between"/>
      </c:valAx>
      <c:spPr>
        <a:solidFill>
          <a:srgbClr val="C0C0C0"/>
        </a:solidFill>
        <a:ln w="12700">
          <a:solidFill>
            <a:srgbClr val="808080"/>
          </a:solidFill>
          <a:prstDash val="solid"/>
        </a:ln>
      </c:spPr>
    </c:plotArea>
    <c:legend>
      <c:legendPos val="r"/>
      <c:layout>
        <c:manualLayout>
          <c:xMode val="edge"/>
          <c:yMode val="edge"/>
          <c:x val="0.57575864065208771"/>
          <c:y val="0.66202090592334495"/>
          <c:w val="0.25947017687281815"/>
          <c:h val="0.11149825783972105"/>
        </c:manualLayout>
      </c:layout>
      <c:spPr>
        <a:no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000000000000722" r="0.75000000000000722" t="1" header="0" footer="0"/>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600"/>
              <a:t>EVOLUCION</a:t>
            </a:r>
            <a:r>
              <a:rPr lang="es-ES" sz="1600" baseline="0"/>
              <a:t> DE PRECIOS  REALES   </a:t>
            </a:r>
          </a:p>
          <a:p>
            <a:pPr>
              <a:defRPr/>
            </a:pPr>
            <a:r>
              <a:rPr lang="es-ES" sz="1600" baseline="0"/>
              <a:t>DE ELECTRICIDAD </a:t>
            </a:r>
            <a:endParaRPr lang="es-ES" sz="1600"/>
          </a:p>
        </c:rich>
      </c:tx>
      <c:layout>
        <c:manualLayout>
          <c:xMode val="edge"/>
          <c:yMode val="edge"/>
          <c:x val="0.22897222222222224"/>
          <c:y val="9.2592592592593871E-3"/>
        </c:manualLayout>
      </c:layout>
      <c:overlay val="1"/>
    </c:title>
    <c:plotArea>
      <c:layout>
        <c:manualLayout>
          <c:layoutTarget val="inner"/>
          <c:xMode val="edge"/>
          <c:yMode val="edge"/>
          <c:x val="0.10671062992126017"/>
          <c:y val="0.21496921249862824"/>
          <c:w val="0.81422506561679864"/>
          <c:h val="0.57888965400237624"/>
        </c:manualLayout>
      </c:layout>
      <c:lineChart>
        <c:grouping val="standard"/>
        <c:ser>
          <c:idx val="0"/>
          <c:order val="0"/>
          <c:tx>
            <c:strRef>
              <c:f>'18-Evolucion de Precio Real EE'!$C$2</c:f>
              <c:strCache>
                <c:ptCount val="1"/>
                <c:pt idx="0">
                  <c:v>PRETOT</c:v>
                </c:pt>
              </c:strCache>
            </c:strRef>
          </c:tx>
          <c:marker>
            <c:symbol val="none"/>
          </c:marker>
          <c:trendline>
            <c:spPr>
              <a:ln w="25400">
                <a:solidFill>
                  <a:schemeClr val="tx1"/>
                </a:solidFill>
              </a:ln>
            </c:spPr>
            <c:trendlineType val="poly"/>
            <c:order val="4"/>
            <c:dispRSqr val="1"/>
            <c:dispEq val="1"/>
            <c:trendlineLbl>
              <c:layout>
                <c:manualLayout>
                  <c:x val="-1.3209536307961523E-2"/>
                  <c:y val="0.19033322355618096"/>
                </c:manualLayout>
              </c:layout>
              <c:numFmt formatCode="General" sourceLinked="0"/>
            </c:trendlineLbl>
          </c:trendline>
          <c:cat>
            <c:numRef>
              <c:f>'18-Evolucion de Precio Real EE'!$B$7:$B$49</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'18-Evolucion de Precio Real EE'!$C$7:$C$49</c:f>
              <c:numCache>
                <c:formatCode>#,##0.00</c:formatCode>
                <c:ptCount val="43"/>
                <c:pt idx="0">
                  <c:v>6.5575389345533859</c:v>
                </c:pt>
                <c:pt idx="1">
                  <c:v>6.915560460917396</c:v>
                </c:pt>
                <c:pt idx="2">
                  <c:v>6.7963367952326887</c:v>
                </c:pt>
                <c:pt idx="3">
                  <c:v>6.2572290671360324</c:v>
                </c:pt>
                <c:pt idx="4">
                  <c:v>7.7223273860373398</c:v>
                </c:pt>
                <c:pt idx="5">
                  <c:v>8.5331412103746409</c:v>
                </c:pt>
                <c:pt idx="6">
                  <c:v>8.3464835837769105</c:v>
                </c:pt>
                <c:pt idx="7">
                  <c:v>9.5978621181222703</c:v>
                </c:pt>
                <c:pt idx="8">
                  <c:v>10.091717593305599</c:v>
                </c:pt>
                <c:pt idx="9">
                  <c:v>9.6064687097002643</c:v>
                </c:pt>
                <c:pt idx="10">
                  <c:v>10.918351537031539</c:v>
                </c:pt>
                <c:pt idx="11">
                  <c:v>11.025703953952993</c:v>
                </c:pt>
                <c:pt idx="12">
                  <c:v>11.446142823023646</c:v>
                </c:pt>
                <c:pt idx="13">
                  <c:v>12.174077502478633</c:v>
                </c:pt>
                <c:pt idx="14">
                  <c:v>12.099878742215367</c:v>
                </c:pt>
                <c:pt idx="15">
                  <c:v>11.531669392621657</c:v>
                </c:pt>
                <c:pt idx="16">
                  <c:v>11.283893311773101</c:v>
                </c:pt>
                <c:pt idx="17">
                  <c:v>11.006526402263702</c:v>
                </c:pt>
                <c:pt idx="18">
                  <c:v>10.860992406008346</c:v>
                </c:pt>
                <c:pt idx="19">
                  <c:v>10.977240008226504</c:v>
                </c:pt>
                <c:pt idx="20">
                  <c:v>10.840248215196695</c:v>
                </c:pt>
                <c:pt idx="21">
                  <c:v>10.692143811138333</c:v>
                </c:pt>
                <c:pt idx="22">
                  <c:v>10.320843681805142</c:v>
                </c:pt>
                <c:pt idx="23">
                  <c:v>10.197490145603734</c:v>
                </c:pt>
                <c:pt idx="24">
                  <c:v>10.111816743850719</c:v>
                </c:pt>
                <c:pt idx="25">
                  <c:v>9.9438167466939102</c:v>
                </c:pt>
                <c:pt idx="26">
                  <c:v>9.7189760832281973</c:v>
                </c:pt>
                <c:pt idx="27">
                  <c:v>9.4328132530970503</c:v>
                </c:pt>
                <c:pt idx="28">
                  <c:v>9.4774783801196083</c:v>
                </c:pt>
                <c:pt idx="29">
                  <c:v>8.5173837753665786</c:v>
                </c:pt>
                <c:pt idx="30">
                  <c:v>9.3479942810496794</c:v>
                </c:pt>
                <c:pt idx="31">
                  <c:v>9.6486467023080333</c:v>
                </c:pt>
                <c:pt idx="32">
                  <c:v>8.9401585347098429</c:v>
                </c:pt>
                <c:pt idx="33">
                  <c:v>9.4588272299579721</c:v>
                </c:pt>
                <c:pt idx="34">
                  <c:v>9.6246733816846248</c:v>
                </c:pt>
                <c:pt idx="35">
                  <c:v>10.622770135550279</c:v>
                </c:pt>
                <c:pt idx="36">
                  <c:v>11.488120983649852</c:v>
                </c:pt>
                <c:pt idx="37">
                  <c:v>11.52723730027849</c:v>
                </c:pt>
                <c:pt idx="38">
                  <c:v>13.207478945777604</c:v>
                </c:pt>
                <c:pt idx="39">
                  <c:v>11.058146935286631</c:v>
                </c:pt>
                <c:pt idx="40">
                  <c:v>10.575270831648373</c:v>
                </c:pt>
                <c:pt idx="41">
                  <c:v>9.7898945655695861</c:v>
                </c:pt>
                <c:pt idx="42">
                  <c:v>9.0686455705028415</c:v>
                </c:pt>
              </c:numCache>
            </c:numRef>
          </c:val>
        </c:ser>
        <c:ser>
          <c:idx val="1"/>
          <c:order val="1"/>
          <c:tx>
            <c:strRef>
              <c:f>'18-Evolucion de Precio Real EE'!$F$2</c:f>
              <c:strCache>
                <c:ptCount val="1"/>
                <c:pt idx="0">
                  <c:v>USA  ELECTRICAL REAL </c:v>
                </c:pt>
              </c:strCache>
            </c:strRef>
          </c:tx>
          <c:marker>
            <c:symbol val="none"/>
          </c:marker>
          <c:cat>
            <c:numRef>
              <c:f>'18-Evolucion de Precio Real EE'!$B$7:$B$49</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'18-Evolucion de Precio Real EE'!$G$7:$G$48</c:f>
              <c:numCache>
                <c:formatCode>0.00</c:formatCode>
                <c:ptCount val="42"/>
                <c:pt idx="0">
                  <c:v>3.8738495702594902</c:v>
                </c:pt>
                <c:pt idx="1">
                  <c:v>3.9063799788508984</c:v>
                </c:pt>
                <c:pt idx="2">
                  <c:v>3.9529473605166321</c:v>
                </c:pt>
                <c:pt idx="3">
                  <c:v>3.9422310756972108</c:v>
                </c:pt>
                <c:pt idx="4">
                  <c:v>4.5176754500391327</c:v>
                </c:pt>
                <c:pt idx="5">
                  <c:v>4.7878556744033611</c:v>
                </c:pt>
                <c:pt idx="6">
                  <c:v>4.8402941756600635</c:v>
                </c:pt>
                <c:pt idx="7">
                  <c:v>4.9906174670869632</c:v>
                </c:pt>
                <c:pt idx="8">
                  <c:v>5.0748613861386129</c:v>
                </c:pt>
                <c:pt idx="9">
                  <c:v>5.0649665227028624</c:v>
                </c:pt>
                <c:pt idx="10">
                  <c:v>5.4540512240581345</c:v>
                </c:pt>
                <c:pt idx="11">
                  <c:v>5.8356342747726178</c:v>
                </c:pt>
                <c:pt idx="12">
                  <c:v>6.1</c:v>
                </c:pt>
                <c:pt idx="13">
                  <c:v>6.0603718556325177</c:v>
                </c:pt>
                <c:pt idx="14">
                  <c:v>5.7946825954556109</c:v>
                </c:pt>
                <c:pt idx="15">
                  <c:v>5.7953306483045344</c:v>
                </c:pt>
                <c:pt idx="16">
                  <c:v>5.6700077855633415</c:v>
                </c:pt>
                <c:pt idx="17">
                  <c:v>5.4501642888024202</c:v>
                </c:pt>
                <c:pt idx="18">
                  <c:v>5.2526751059891312</c:v>
                </c:pt>
                <c:pt idx="19">
                  <c:v>5.1412209787393186</c:v>
                </c:pt>
                <c:pt idx="20">
                  <c:v>5.0422686666389653</c:v>
                </c:pt>
                <c:pt idx="21">
                  <c:v>5.0030898876404484</c:v>
                </c:pt>
                <c:pt idx="22">
                  <c:v>4.9378678478564799</c:v>
                </c:pt>
                <c:pt idx="23">
                  <c:v>4.9090453057885037</c:v>
                </c:pt>
                <c:pt idx="24">
                  <c:v>4.7938817107371792</c:v>
                </c:pt>
                <c:pt idx="25">
                  <c:v>4.6824553571428567</c:v>
                </c:pt>
                <c:pt idx="26">
                  <c:v>4.5749845946466401</c:v>
                </c:pt>
                <c:pt idx="27">
                  <c:v>4.4890568269173903</c:v>
                </c:pt>
                <c:pt idx="28">
                  <c:v>4.3675887312743384</c:v>
                </c:pt>
                <c:pt idx="29">
                  <c:v>4.2404536234556511</c:v>
                </c:pt>
                <c:pt idx="30">
                  <c:v>4.2568357643236654</c:v>
                </c:pt>
                <c:pt idx="31">
                  <c:v>4.4561884169884172</c:v>
                </c:pt>
                <c:pt idx="32">
                  <c:v>4.3310362795544837</c:v>
                </c:pt>
                <c:pt idx="33">
                  <c:v>4.3811400637619551</c:v>
                </c:pt>
                <c:pt idx="34">
                  <c:v>4.3576038028314557</c:v>
                </c:pt>
                <c:pt idx="35">
                  <c:v>4.5105367999999997</c:v>
                </c:pt>
                <c:pt idx="36">
                  <c:v>4.7761100942308987</c:v>
                </c:pt>
                <c:pt idx="37">
                  <c:v>4.7631344267234068</c:v>
                </c:pt>
                <c:pt idx="38">
                  <c:v>4.9750917655300828</c:v>
                </c:pt>
                <c:pt idx="39">
                  <c:v>4.9924813701375603</c:v>
                </c:pt>
                <c:pt idx="40">
                  <c:v>4.9117230971601558</c:v>
                </c:pt>
                <c:pt idx="41">
                  <c:v>4.7866845373359119</c:v>
                </c:pt>
              </c:numCache>
            </c:numRef>
          </c:val>
        </c:ser>
        <c:marker val="1"/>
        <c:axId val="133057536"/>
        <c:axId val="133063808"/>
      </c:lineChart>
      <c:catAx>
        <c:axId val="133057536"/>
        <c:scaling>
          <c:orientation val="minMax"/>
        </c:scaling>
        <c:axPos val="b"/>
        <c:title>
          <c:tx>
            <c:rich>
              <a:bodyPr/>
              <a:lstStyle/>
              <a:p>
                <a:pPr>
                  <a:defRPr/>
                </a:pPr>
                <a:r>
                  <a:rPr lang="es-ES"/>
                  <a:t>Años</a:t>
                </a:r>
              </a:p>
            </c:rich>
          </c:tx>
          <c:layout/>
        </c:title>
        <c:numFmt formatCode="General" sourceLinked="1"/>
        <c:tickLblPos val="nextTo"/>
        <c:txPr>
          <a:bodyPr/>
          <a:lstStyle/>
          <a:p>
            <a:pPr>
              <a:defRPr sz="900" baseline="0"/>
            </a:pPr>
            <a:endParaRPr lang="es-ES"/>
          </a:p>
        </c:txPr>
        <c:crossAx val="133063808"/>
        <c:crosses val="autoZero"/>
        <c:auto val="1"/>
        <c:lblAlgn val="ctr"/>
        <c:lblOffset val="100"/>
        <c:tickLblSkip val="5"/>
      </c:catAx>
      <c:valAx>
        <c:axId val="133063808"/>
        <c:scaling>
          <c:orientation val="minMax"/>
        </c:scaling>
        <c:axPos val="l"/>
        <c:majorGridlines/>
        <c:title>
          <c:tx>
            <c:rich>
              <a:bodyPr rot="0" vert="horz"/>
              <a:lstStyle/>
              <a:p>
                <a:pPr>
                  <a:defRPr/>
                </a:pPr>
                <a:r>
                  <a:rPr lang="es-ES" b="1"/>
                  <a:t>c/ kWh</a:t>
                </a:r>
              </a:p>
            </c:rich>
          </c:tx>
          <c:layout>
            <c:manualLayout>
              <c:xMode val="edge"/>
              <c:yMode val="edge"/>
              <c:x val="8.0555555555555769E-2"/>
              <c:y val="0.13127072043751167"/>
            </c:manualLayout>
          </c:layout>
        </c:title>
        <c:numFmt formatCode="#,##0" sourceLinked="0"/>
        <c:tickLblPos val="nextTo"/>
        <c:crossAx val="133057536"/>
        <c:crosses val="autoZero"/>
        <c:crossBetween val="between"/>
      </c:valAx>
    </c:plotArea>
    <c:legend>
      <c:legendPos val="b"/>
      <c:layout>
        <c:manualLayout>
          <c:xMode val="edge"/>
          <c:yMode val="edge"/>
          <c:x val="0.17438057742782151"/>
          <c:y val="0.64579264093889599"/>
          <c:w val="0.6179055118110236"/>
          <c:h val="0.13885013422751813"/>
        </c:manualLayout>
      </c:layout>
    </c:legend>
    <c:plotVisOnly val="1"/>
  </c:chart>
  <c:printSettings>
    <c:headerFooter/>
    <c:pageMargins b="0.750000000000004" l="0.70000000000000062" r="0.70000000000000062" t="0.750000000000004"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EVOLUCION</a:t>
            </a:r>
            <a:r>
              <a:rPr lang="es-ES" baseline="0"/>
              <a:t> COMPARATIVA DEL PRECIO REAL DE</a:t>
            </a:r>
          </a:p>
          <a:p>
            <a:pPr>
              <a:defRPr/>
            </a:pPr>
            <a:r>
              <a:rPr lang="es-ES" baseline="0"/>
              <a:t> LA ENERGIA  ELECTRICA  EN PANAMA  Y USA </a:t>
            </a:r>
            <a:endParaRPr lang="es-ES"/>
          </a:p>
        </c:rich>
      </c:tx>
      <c:layout/>
      <c:overlay val="1"/>
    </c:title>
    <c:plotArea>
      <c:layout>
        <c:manualLayout>
          <c:layoutTarget val="inner"/>
          <c:xMode val="edge"/>
          <c:yMode val="edge"/>
          <c:x val="0.10206915883087428"/>
          <c:y val="0.21704286964129632"/>
          <c:w val="0.86086741584486404"/>
          <c:h val="0.62123398292027654"/>
        </c:manualLayout>
      </c:layout>
      <c:lineChart>
        <c:grouping val="standard"/>
        <c:ser>
          <c:idx val="0"/>
          <c:order val="0"/>
          <c:tx>
            <c:strRef>
              <c:f>'18-Evolucion de Precio Real EE'!$C$2</c:f>
              <c:strCache>
                <c:ptCount val="1"/>
                <c:pt idx="0">
                  <c:v>PRETOT</c:v>
                </c:pt>
              </c:strCache>
            </c:strRef>
          </c:tx>
          <c:marker>
            <c:symbol val="none"/>
          </c:marker>
          <c:cat>
            <c:numRef>
              <c:f>'18-Evolucion de Precio Real EE'!$B$7:$B$48</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'18-Evolucion de Precio Real EE'!$C$7:$C$48</c:f>
              <c:numCache>
                <c:formatCode>#,##0.00</c:formatCode>
                <c:ptCount val="42"/>
                <c:pt idx="0">
                  <c:v>6.5575389345533859</c:v>
                </c:pt>
                <c:pt idx="1">
                  <c:v>6.915560460917396</c:v>
                </c:pt>
                <c:pt idx="2">
                  <c:v>6.7963367952326887</c:v>
                </c:pt>
                <c:pt idx="3">
                  <c:v>6.2572290671360324</c:v>
                </c:pt>
                <c:pt idx="4">
                  <c:v>7.7223273860373398</c:v>
                </c:pt>
                <c:pt idx="5">
                  <c:v>8.5331412103746409</c:v>
                </c:pt>
                <c:pt idx="6">
                  <c:v>8.3464835837769105</c:v>
                </c:pt>
                <c:pt idx="7">
                  <c:v>9.5978621181222703</c:v>
                </c:pt>
                <c:pt idx="8">
                  <c:v>10.091717593305599</c:v>
                </c:pt>
                <c:pt idx="9">
                  <c:v>9.6064687097002643</c:v>
                </c:pt>
                <c:pt idx="10">
                  <c:v>10.918351537031539</c:v>
                </c:pt>
                <c:pt idx="11">
                  <c:v>11.025703953952993</c:v>
                </c:pt>
                <c:pt idx="12">
                  <c:v>11.446142823023646</c:v>
                </c:pt>
                <c:pt idx="13">
                  <c:v>12.174077502478633</c:v>
                </c:pt>
                <c:pt idx="14">
                  <c:v>12.099878742215367</c:v>
                </c:pt>
                <c:pt idx="15">
                  <c:v>11.531669392621657</c:v>
                </c:pt>
                <c:pt idx="16">
                  <c:v>11.283893311773101</c:v>
                </c:pt>
                <c:pt idx="17">
                  <c:v>11.006526402263702</c:v>
                </c:pt>
                <c:pt idx="18">
                  <c:v>10.860992406008346</c:v>
                </c:pt>
                <c:pt idx="19">
                  <c:v>10.977240008226504</c:v>
                </c:pt>
                <c:pt idx="20">
                  <c:v>10.840248215196695</c:v>
                </c:pt>
                <c:pt idx="21">
                  <c:v>10.692143811138333</c:v>
                </c:pt>
                <c:pt idx="22">
                  <c:v>10.320843681805142</c:v>
                </c:pt>
                <c:pt idx="23">
                  <c:v>10.197490145603734</c:v>
                </c:pt>
                <c:pt idx="24">
                  <c:v>10.111816743850719</c:v>
                </c:pt>
                <c:pt idx="25">
                  <c:v>9.9438167466939102</c:v>
                </c:pt>
                <c:pt idx="26">
                  <c:v>9.7189760832281973</c:v>
                </c:pt>
                <c:pt idx="27">
                  <c:v>9.4328132530970503</c:v>
                </c:pt>
                <c:pt idx="28">
                  <c:v>9.4774783801196083</c:v>
                </c:pt>
                <c:pt idx="29">
                  <c:v>8.5173837753665786</c:v>
                </c:pt>
                <c:pt idx="30">
                  <c:v>9.3479942810496794</c:v>
                </c:pt>
                <c:pt idx="31">
                  <c:v>9.6486467023080333</c:v>
                </c:pt>
                <c:pt idx="32">
                  <c:v>8.9401585347098429</c:v>
                </c:pt>
                <c:pt idx="33">
                  <c:v>9.4588272299579721</c:v>
                </c:pt>
                <c:pt idx="34">
                  <c:v>9.6246733816846248</c:v>
                </c:pt>
                <c:pt idx="35">
                  <c:v>10.622770135550279</c:v>
                </c:pt>
                <c:pt idx="36">
                  <c:v>11.488120983649852</c:v>
                </c:pt>
                <c:pt idx="37">
                  <c:v>11.52723730027849</c:v>
                </c:pt>
                <c:pt idx="38">
                  <c:v>13.207478945777604</c:v>
                </c:pt>
                <c:pt idx="39">
                  <c:v>11.058146935286631</c:v>
                </c:pt>
                <c:pt idx="40">
                  <c:v>10.575270831648373</c:v>
                </c:pt>
                <c:pt idx="41">
                  <c:v>9.7898945655695861</c:v>
                </c:pt>
              </c:numCache>
            </c:numRef>
          </c:val>
        </c:ser>
        <c:ser>
          <c:idx val="1"/>
          <c:order val="1"/>
          <c:tx>
            <c:strRef>
              <c:f>'18-Evolucion de Precio Real EE'!$F$2:$G$2</c:f>
              <c:strCache>
                <c:ptCount val="1"/>
                <c:pt idx="0">
                  <c:v>USA  ELECTRICAL REAL </c:v>
                </c:pt>
              </c:strCache>
            </c:strRef>
          </c:tx>
          <c:marker>
            <c:symbol val="none"/>
          </c:marker>
          <c:cat>
            <c:numRef>
              <c:f>'18-Evolucion de Precio Real EE'!$B$7:$B$48</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'18-Evolucion de Precio Real EE'!$G$7:$G$48</c:f>
              <c:numCache>
                <c:formatCode>0.00</c:formatCode>
                <c:ptCount val="42"/>
                <c:pt idx="0">
                  <c:v>3.8738495702594902</c:v>
                </c:pt>
                <c:pt idx="1">
                  <c:v>3.9063799788508984</c:v>
                </c:pt>
                <c:pt idx="2">
                  <c:v>3.9529473605166321</c:v>
                </c:pt>
                <c:pt idx="3">
                  <c:v>3.9422310756972108</c:v>
                </c:pt>
                <c:pt idx="4">
                  <c:v>4.5176754500391327</c:v>
                </c:pt>
                <c:pt idx="5">
                  <c:v>4.7878556744033611</c:v>
                </c:pt>
                <c:pt idx="6">
                  <c:v>4.8402941756600635</c:v>
                </c:pt>
                <c:pt idx="7">
                  <c:v>4.9906174670869632</c:v>
                </c:pt>
                <c:pt idx="8">
                  <c:v>5.0748613861386129</c:v>
                </c:pt>
                <c:pt idx="9">
                  <c:v>5.0649665227028624</c:v>
                </c:pt>
                <c:pt idx="10">
                  <c:v>5.4540512240581345</c:v>
                </c:pt>
                <c:pt idx="11">
                  <c:v>5.8356342747726178</c:v>
                </c:pt>
                <c:pt idx="12">
                  <c:v>6.1</c:v>
                </c:pt>
                <c:pt idx="13">
                  <c:v>6.0603718556325177</c:v>
                </c:pt>
                <c:pt idx="14">
                  <c:v>5.7946825954556109</c:v>
                </c:pt>
                <c:pt idx="15">
                  <c:v>5.7953306483045344</c:v>
                </c:pt>
                <c:pt idx="16">
                  <c:v>5.6700077855633415</c:v>
                </c:pt>
                <c:pt idx="17">
                  <c:v>5.4501642888024202</c:v>
                </c:pt>
                <c:pt idx="18">
                  <c:v>5.2526751059891312</c:v>
                </c:pt>
                <c:pt idx="19">
                  <c:v>5.1412209787393186</c:v>
                </c:pt>
                <c:pt idx="20">
                  <c:v>5.0422686666389653</c:v>
                </c:pt>
                <c:pt idx="21">
                  <c:v>5.0030898876404484</c:v>
                </c:pt>
                <c:pt idx="22">
                  <c:v>4.9378678478564799</c:v>
                </c:pt>
                <c:pt idx="23">
                  <c:v>4.9090453057885037</c:v>
                </c:pt>
                <c:pt idx="24">
                  <c:v>4.7938817107371792</c:v>
                </c:pt>
                <c:pt idx="25">
                  <c:v>4.6824553571428567</c:v>
                </c:pt>
                <c:pt idx="26">
                  <c:v>4.5749845946466401</c:v>
                </c:pt>
                <c:pt idx="27">
                  <c:v>4.4890568269173903</c:v>
                </c:pt>
                <c:pt idx="28">
                  <c:v>4.3675887312743384</c:v>
                </c:pt>
                <c:pt idx="29">
                  <c:v>4.2404536234556511</c:v>
                </c:pt>
                <c:pt idx="30">
                  <c:v>4.2568357643236654</c:v>
                </c:pt>
                <c:pt idx="31">
                  <c:v>4.4561884169884172</c:v>
                </c:pt>
                <c:pt idx="32">
                  <c:v>4.3310362795544837</c:v>
                </c:pt>
                <c:pt idx="33">
                  <c:v>4.3811400637619551</c:v>
                </c:pt>
                <c:pt idx="34">
                  <c:v>4.3576038028314557</c:v>
                </c:pt>
                <c:pt idx="35">
                  <c:v>4.5105367999999997</c:v>
                </c:pt>
                <c:pt idx="36">
                  <c:v>4.7761100942308987</c:v>
                </c:pt>
                <c:pt idx="37">
                  <c:v>4.7631344267234068</c:v>
                </c:pt>
                <c:pt idx="38">
                  <c:v>4.9750917655300828</c:v>
                </c:pt>
                <c:pt idx="39">
                  <c:v>4.9924813701375603</c:v>
                </c:pt>
                <c:pt idx="40">
                  <c:v>4.9117230971601558</c:v>
                </c:pt>
                <c:pt idx="41">
                  <c:v>4.7866845373359119</c:v>
                </c:pt>
              </c:numCache>
            </c:numRef>
          </c:val>
        </c:ser>
        <c:marker val="1"/>
        <c:axId val="133089536"/>
        <c:axId val="130482560"/>
      </c:lineChart>
      <c:catAx>
        <c:axId val="133089536"/>
        <c:scaling>
          <c:orientation val="minMax"/>
        </c:scaling>
        <c:axPos val="b"/>
        <c:title>
          <c:tx>
            <c:rich>
              <a:bodyPr/>
              <a:lstStyle/>
              <a:p>
                <a:pPr>
                  <a:defRPr/>
                </a:pPr>
                <a:r>
                  <a:rPr lang="es-ES"/>
                  <a:t>AÑOS</a:t>
                </a:r>
                <a:r>
                  <a:rPr lang="es-ES" baseline="0"/>
                  <a:t> </a:t>
                </a:r>
                <a:endParaRPr lang="es-ES"/>
              </a:p>
            </c:rich>
          </c:tx>
          <c:layout/>
        </c:title>
        <c:numFmt formatCode="General" sourceLinked="1"/>
        <c:tickLblPos val="nextTo"/>
        <c:crossAx val="130482560"/>
        <c:crosses val="autoZero"/>
        <c:auto val="1"/>
        <c:lblAlgn val="ctr"/>
        <c:lblOffset val="100"/>
        <c:tickLblSkip val="5"/>
      </c:catAx>
      <c:valAx>
        <c:axId val="130482560"/>
        <c:scaling>
          <c:orientation val="minMax"/>
        </c:scaling>
        <c:axPos val="l"/>
        <c:majorGridlines/>
        <c:title>
          <c:tx>
            <c:rich>
              <a:bodyPr rot="0" vert="horz"/>
              <a:lstStyle/>
              <a:p>
                <a:pPr>
                  <a:defRPr/>
                </a:pPr>
                <a:r>
                  <a:rPr lang="es-ES"/>
                  <a:t>c/KWh</a:t>
                </a:r>
              </a:p>
            </c:rich>
          </c:tx>
          <c:layout>
            <c:manualLayout>
              <c:xMode val="edge"/>
              <c:yMode val="edge"/>
              <c:x val="0.10466715932353129"/>
              <c:y val="0.23227123158277907"/>
            </c:manualLayout>
          </c:layout>
        </c:title>
        <c:numFmt formatCode="#,##0" sourceLinked="0"/>
        <c:tickLblPos val="nextTo"/>
        <c:crossAx val="133089536"/>
        <c:crosses val="autoZero"/>
        <c:crossBetween val="between"/>
      </c:valAx>
      <c:spPr>
        <a:gradFill>
          <a:gsLst>
            <a:gs pos="0">
              <a:srgbClr val="5E9EFF"/>
            </a:gs>
            <a:gs pos="39999">
              <a:srgbClr val="85C2FF"/>
            </a:gs>
            <a:gs pos="70000">
              <a:srgbClr val="C4D6EB"/>
            </a:gs>
            <a:gs pos="100000">
              <a:srgbClr val="FFEBFA"/>
            </a:gs>
          </a:gsLst>
          <a:lin ang="5400000" scaled="0"/>
        </a:gradFill>
      </c:spPr>
    </c:plotArea>
    <c:legend>
      <c:legendPos val="r"/>
      <c:layout>
        <c:manualLayout>
          <c:xMode val="edge"/>
          <c:yMode val="edge"/>
          <c:x val="0.25332786008384023"/>
          <c:y val="0.69496202355236569"/>
          <c:w val="0.40861315321366815"/>
          <c:h val="9.5047499593524265E-2"/>
        </c:manualLayout>
      </c:layout>
    </c:legend>
    <c:plotVisOnly val="1"/>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printSettings>
    <c:headerFooter/>
    <c:pageMargins b="0.75000000000000377" l="0.70000000000000062" r="0.70000000000000062" t="0.75000000000000377"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400"/>
            </a:pPr>
            <a:r>
              <a:rPr lang="es-ES" sz="1400"/>
              <a:t>VARIACION </a:t>
            </a:r>
            <a:r>
              <a:rPr lang="es-ES" sz="1400" baseline="0"/>
              <a:t> ANUAL HISTORICA DE PRECIO TOTAL DE LA ENERGIA ELECTRICA  </a:t>
            </a:r>
          </a:p>
          <a:p>
            <a:pPr>
              <a:defRPr sz="1400"/>
            </a:pPr>
            <a:r>
              <a:rPr lang="es-ES" sz="1000" baseline="0"/>
              <a:t>AÑOS    1970 - 2009</a:t>
            </a:r>
          </a:p>
        </c:rich>
      </c:tx>
      <c:layout>
        <c:manualLayout>
          <c:xMode val="edge"/>
          <c:yMode val="edge"/>
          <c:x val="0.15482892955753991"/>
          <c:y val="9.1466864514276228E-2"/>
        </c:manualLayout>
      </c:layout>
      <c:overlay val="1"/>
    </c:title>
    <c:plotArea>
      <c:layout>
        <c:manualLayout>
          <c:layoutTarget val="inner"/>
          <c:xMode val="edge"/>
          <c:yMode val="edge"/>
          <c:x val="9.21978665115568E-2"/>
          <c:y val="0.30266695386481318"/>
          <c:w val="0.85323667646879886"/>
          <c:h val="0.62566913178405892"/>
        </c:manualLayout>
      </c:layout>
      <c:lineChart>
        <c:grouping val="standard"/>
        <c:ser>
          <c:idx val="0"/>
          <c:order val="0"/>
          <c:tx>
            <c:strRef>
              <c:f>'18-Evolucion de Precio Real EE'!$C$2:$D$2</c:f>
              <c:strCache>
                <c:ptCount val="1"/>
                <c:pt idx="0">
                  <c:v>PRETOT</c:v>
                </c:pt>
              </c:strCache>
            </c:strRef>
          </c:tx>
          <c:marker>
            <c:symbol val="none"/>
          </c:marker>
          <c:cat>
            <c:numRef>
              <c:f>'18-Evolucion de Precio Real EE'!$B$7:$B$46</c:f>
              <c:numCache>
                <c:formatCode>General</c:formatCode>
                <c:ptCount val="4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numCache>
            </c:numRef>
          </c:cat>
          <c:val>
            <c:numRef>
              <c:f>'18-Evolucion de Precio Real EE'!$D$7:$D$46</c:f>
              <c:numCache>
                <c:formatCode>0.0%</c:formatCode>
                <c:ptCount val="40"/>
                <c:pt idx="1">
                  <c:v>5.4596934907622297E-2</c:v>
                </c:pt>
                <c:pt idx="2">
                  <c:v>-1.7239913721886713E-2</c:v>
                </c:pt>
                <c:pt idx="3">
                  <c:v>-7.9323280222783454E-2</c:v>
                </c:pt>
                <c:pt idx="4">
                  <c:v>0.23414490714368097</c:v>
                </c:pt>
                <c:pt idx="5">
                  <c:v>0.10499604378381133</c:v>
                </c:pt>
                <c:pt idx="6">
                  <c:v>-2.1874433106859992E-2</c:v>
                </c:pt>
                <c:pt idx="7">
                  <c:v>0.14992883191882966</c:v>
                </c:pt>
                <c:pt idx="8">
                  <c:v>5.1454737430625563E-2</c:v>
                </c:pt>
                <c:pt idx="9">
                  <c:v>-4.8083874634703205E-2</c:v>
                </c:pt>
                <c:pt idx="10">
                  <c:v>0.13656244213928304</c:v>
                </c:pt>
                <c:pt idx="11">
                  <c:v>9.8322916749244982E-3</c:v>
                </c:pt>
                <c:pt idx="12">
                  <c:v>3.8132610019872226E-2</c:v>
                </c:pt>
                <c:pt idx="13">
                  <c:v>6.359650501571279E-2</c:v>
                </c:pt>
                <c:pt idx="14">
                  <c:v>-6.0948158288099963E-3</c:v>
                </c:pt>
                <c:pt idx="15">
                  <c:v>-4.6959920979313563E-2</c:v>
                </c:pt>
                <c:pt idx="16">
                  <c:v>-2.1486575136041575E-2</c:v>
                </c:pt>
                <c:pt idx="17">
                  <c:v>-2.4580780927803247E-2</c:v>
                </c:pt>
                <c:pt idx="18">
                  <c:v>-1.3222518252936188E-2</c:v>
                </c:pt>
                <c:pt idx="19">
                  <c:v>1.0703221020009979E-2</c:v>
                </c:pt>
                <c:pt idx="20">
                  <c:v>-1.2479620827015259E-2</c:v>
                </c:pt>
                <c:pt idx="21">
                  <c:v>-1.3662455058062073E-2</c:v>
                </c:pt>
                <c:pt idx="22">
                  <c:v>-3.4726443629237047E-2</c:v>
                </c:pt>
                <c:pt idx="23">
                  <c:v>-1.1951884943172897E-2</c:v>
                </c:pt>
                <c:pt idx="24">
                  <c:v>-8.4014204014650762E-3</c:v>
                </c:pt>
                <c:pt idx="25">
                  <c:v>-1.6614224863101268E-2</c:v>
                </c:pt>
                <c:pt idx="26">
                  <c:v>-2.2611102878627332E-2</c:v>
                </c:pt>
                <c:pt idx="27">
                  <c:v>-2.9443722021805452E-2</c:v>
                </c:pt>
                <c:pt idx="28">
                  <c:v>4.7350801742940263E-3</c:v>
                </c:pt>
                <c:pt idx="29">
                  <c:v>-0.10130274807769202</c:v>
                </c:pt>
                <c:pt idx="30">
                  <c:v>9.751944113230393E-2</c:v>
                </c:pt>
                <c:pt idx="31">
                  <c:v>3.2162238467329685E-2</c:v>
                </c:pt>
                <c:pt idx="32">
                  <c:v>-7.3428760473602472E-2</c:v>
                </c:pt>
                <c:pt idx="33">
                  <c:v>5.8015603776422564E-2</c:v>
                </c:pt>
                <c:pt idx="34">
                  <c:v>1.7533479330438029E-2</c:v>
                </c:pt>
                <c:pt idx="35">
                  <c:v>0.10370188309610517</c:v>
                </c:pt>
                <c:pt idx="36">
                  <c:v>8.1461882075710035E-2</c:v>
                </c:pt>
                <c:pt idx="37">
                  <c:v>3.4049359929537726E-3</c:v>
                </c:pt>
                <c:pt idx="38">
                  <c:v>0.14576273583424193</c:v>
                </c:pt>
                <c:pt idx="39">
                  <c:v>-0.1627359785554009</c:v>
                </c:pt>
              </c:numCache>
            </c:numRef>
          </c:val>
        </c:ser>
        <c:ser>
          <c:idx val="1"/>
          <c:order val="1"/>
          <c:tx>
            <c:strRef>
              <c:f>'18-Evolucion de Precio Real EE'!$F$2:$H$2</c:f>
              <c:strCache>
                <c:ptCount val="1"/>
                <c:pt idx="0">
                  <c:v>USA  ELECTRICAL REAL </c:v>
                </c:pt>
              </c:strCache>
            </c:strRef>
          </c:tx>
          <c:marker>
            <c:symbol val="none"/>
          </c:marker>
          <c:cat>
            <c:numRef>
              <c:f>'18-Evolucion de Precio Real EE'!$B$7:$B$46</c:f>
              <c:numCache>
                <c:formatCode>General</c:formatCode>
                <c:ptCount val="4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numCache>
            </c:numRef>
          </c:cat>
          <c:val>
            <c:numRef>
              <c:f>'18-Evolucion de Precio Real EE'!$H$7:$H$46</c:f>
              <c:numCache>
                <c:formatCode>0.0%</c:formatCode>
                <c:ptCount val="40"/>
                <c:pt idx="1">
                  <c:v>8.397437226564497E-3</c:v>
                </c:pt>
                <c:pt idx="2">
                  <c:v>1.1920853044979918E-2</c:v>
                </c:pt>
                <c:pt idx="3">
                  <c:v>-2.7109606686036569E-3</c:v>
                </c:pt>
                <c:pt idx="4">
                  <c:v>0.14596921471432278</c:v>
                </c:pt>
                <c:pt idx="5">
                  <c:v>5.9805142567708858E-2</c:v>
                </c:pt>
                <c:pt idx="6">
                  <c:v>1.0952398071864877E-2</c:v>
                </c:pt>
                <c:pt idx="7">
                  <c:v>3.1056643660795746E-2</c:v>
                </c:pt>
                <c:pt idx="8">
                  <c:v>1.6880460104834016E-2</c:v>
                </c:pt>
                <c:pt idx="9">
                  <c:v>-1.9497800398602383E-3</c:v>
                </c:pt>
                <c:pt idx="10">
                  <c:v>7.6818810077275979E-2</c:v>
                </c:pt>
                <c:pt idx="11">
                  <c:v>6.9963231924060176E-2</c:v>
                </c:pt>
                <c:pt idx="12">
                  <c:v>4.5301969379786478E-2</c:v>
                </c:pt>
                <c:pt idx="13">
                  <c:v>-6.4964171094232803E-3</c:v>
                </c:pt>
                <c:pt idx="14">
                  <c:v>-4.3840422090597464E-2</c:v>
                </c:pt>
                <c:pt idx="15">
                  <c:v>1.1183578017393003E-4</c:v>
                </c:pt>
                <c:pt idx="16">
                  <c:v>-2.1624799402577111E-2</c:v>
                </c:pt>
                <c:pt idx="17">
                  <c:v>-3.877305024530564E-2</c:v>
                </c:pt>
                <c:pt idx="18">
                  <c:v>-3.6235454997024297E-2</c:v>
                </c:pt>
                <c:pt idx="19">
                  <c:v>-2.1218545788741383E-2</c:v>
                </c:pt>
                <c:pt idx="20">
                  <c:v>-1.9246850604079158E-2</c:v>
                </c:pt>
                <c:pt idx="21">
                  <c:v>-7.7700697025000487E-3</c:v>
                </c:pt>
                <c:pt idx="22">
                  <c:v>-1.3036351784342703E-2</c:v>
                </c:pt>
                <c:pt idx="23">
                  <c:v>-5.8370420100424258E-3</c:v>
                </c:pt>
                <c:pt idx="24">
                  <c:v>-2.3459468771968583E-2</c:v>
                </c:pt>
                <c:pt idx="25">
                  <c:v>-2.3243450781180841E-2</c:v>
                </c:pt>
                <c:pt idx="26">
                  <c:v>-2.295179650400192E-2</c:v>
                </c:pt>
                <c:pt idx="27">
                  <c:v>-1.8782088977916334E-2</c:v>
                </c:pt>
                <c:pt idx="28">
                  <c:v>-2.7058711958089288E-2</c:v>
                </c:pt>
                <c:pt idx="29">
                  <c:v>-2.9108763585804165E-2</c:v>
                </c:pt>
                <c:pt idx="30">
                  <c:v>3.863299147383259E-3</c:v>
                </c:pt>
                <c:pt idx="31">
                  <c:v>4.6831182526588577E-2</c:v>
                </c:pt>
                <c:pt idx="32">
                  <c:v>-2.8085019241290032E-2</c:v>
                </c:pt>
                <c:pt idx="33">
                  <c:v>1.156854410201924E-2</c:v>
                </c:pt>
                <c:pt idx="34">
                  <c:v>-5.3721772387914646E-3</c:v>
                </c:pt>
                <c:pt idx="35">
                  <c:v>3.5095663600525739E-2</c:v>
                </c:pt>
                <c:pt idx="36">
                  <c:v>5.8878423124914869E-2</c:v>
                </c:pt>
                <c:pt idx="37">
                  <c:v>-2.716785679451883E-3</c:v>
                </c:pt>
                <c:pt idx="38">
                  <c:v>4.4499550047862657E-2</c:v>
                </c:pt>
                <c:pt idx="39">
                  <c:v>3.4953334384626444E-3</c:v>
                </c:pt>
              </c:numCache>
            </c:numRef>
          </c:val>
        </c:ser>
        <c:marker val="1"/>
        <c:axId val="130517248"/>
        <c:axId val="130523520"/>
      </c:lineChart>
      <c:catAx>
        <c:axId val="130517248"/>
        <c:scaling>
          <c:orientation val="minMax"/>
        </c:scaling>
        <c:delete val="1"/>
        <c:axPos val="b"/>
        <c:title>
          <c:tx>
            <c:rich>
              <a:bodyPr/>
              <a:lstStyle/>
              <a:p>
                <a:pPr>
                  <a:defRPr/>
                </a:pPr>
                <a:r>
                  <a:rPr lang="es-ES"/>
                  <a:t>AÑOS</a:t>
                </a:r>
                <a:r>
                  <a:rPr lang="es-ES" baseline="0"/>
                  <a:t> </a:t>
                </a:r>
                <a:endParaRPr lang="es-ES"/>
              </a:p>
            </c:rich>
          </c:tx>
          <c:layout>
            <c:manualLayout>
              <c:xMode val="edge"/>
              <c:yMode val="edge"/>
              <c:x val="0.43307204956868511"/>
              <c:y val="0.6871123024515553"/>
            </c:manualLayout>
          </c:layout>
        </c:title>
        <c:numFmt formatCode="General" sourceLinked="1"/>
        <c:tickLblPos val="none"/>
        <c:crossAx val="130523520"/>
        <c:crosses val="autoZero"/>
        <c:auto val="1"/>
        <c:lblAlgn val="ctr"/>
        <c:lblOffset val="100"/>
        <c:tickLblSkip val="5"/>
      </c:catAx>
      <c:valAx>
        <c:axId val="130523520"/>
        <c:scaling>
          <c:orientation val="minMax"/>
        </c:scaling>
        <c:axPos val="l"/>
        <c:majorGridlines/>
        <c:title>
          <c:tx>
            <c:rich>
              <a:bodyPr rot="0" vert="horz"/>
              <a:lstStyle/>
              <a:p>
                <a:pPr>
                  <a:defRPr sz="1400"/>
                </a:pPr>
                <a:r>
                  <a:rPr lang="es-ES" sz="1400"/>
                  <a:t>%</a:t>
                </a:r>
              </a:p>
            </c:rich>
          </c:tx>
          <c:layout>
            <c:manualLayout>
              <c:xMode val="edge"/>
              <c:yMode val="edge"/>
              <c:x val="1.3899486914340906E-2"/>
              <c:y val="0.20981738984754725"/>
            </c:manualLayout>
          </c:layout>
        </c:title>
        <c:numFmt formatCode="0.0%" sourceLinked="0"/>
        <c:tickLblPos val="nextTo"/>
        <c:txPr>
          <a:bodyPr/>
          <a:lstStyle/>
          <a:p>
            <a:pPr>
              <a:defRPr sz="800"/>
            </a:pPr>
            <a:endParaRPr lang="es-ES"/>
          </a:p>
        </c:txPr>
        <c:crossAx val="130517248"/>
        <c:crosses val="autoZero"/>
        <c:crossBetween val="between"/>
      </c:valAx>
      <c:spPr>
        <a:gradFill>
          <a:gsLst>
            <a:gs pos="0">
              <a:srgbClr val="5E9EFF"/>
            </a:gs>
            <a:gs pos="39999">
              <a:srgbClr val="85C2FF"/>
            </a:gs>
            <a:gs pos="70000">
              <a:srgbClr val="C4D6EB"/>
            </a:gs>
            <a:gs pos="100000">
              <a:srgbClr val="FFEBFA"/>
            </a:gs>
          </a:gsLst>
          <a:lin ang="5400000" scaled="0"/>
        </a:gradFill>
      </c:spPr>
    </c:plotArea>
    <c:legend>
      <c:legendPos val="r"/>
      <c:layout>
        <c:manualLayout>
          <c:xMode val="edge"/>
          <c:yMode val="edge"/>
          <c:x val="0.32848684612098245"/>
          <c:y val="0.76230907306799789"/>
          <c:w val="0.40244444444444488"/>
          <c:h val="7.0212160979877508E-2"/>
        </c:manualLayout>
      </c:layout>
    </c:legend>
    <c:plotVisOnly val="1"/>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printSettings>
    <c:headerFooter/>
    <c:pageMargins b="0.75000000000000377" l="0.70000000000000062" r="0.70000000000000062" t="0.75000000000000377"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600"/>
              <a:t>PRETOT</a:t>
            </a:r>
            <a:r>
              <a:rPr lang="es-ES" sz="1600" baseline="0"/>
              <a:t> vs AVERAGE ELECTRICITY USA  y AVERAGE OIL PRICES</a:t>
            </a:r>
          </a:p>
          <a:p>
            <a:pPr>
              <a:defRPr/>
            </a:pPr>
            <a:r>
              <a:rPr lang="es-ES" sz="1200" baseline="0"/>
              <a:t>En dolares de 1982</a:t>
            </a:r>
            <a:endParaRPr lang="es-ES" sz="1200"/>
          </a:p>
        </c:rich>
      </c:tx>
      <c:layout/>
      <c:overlay val="1"/>
    </c:title>
    <c:plotArea>
      <c:layout>
        <c:manualLayout>
          <c:layoutTarget val="inner"/>
          <c:xMode val="edge"/>
          <c:yMode val="edge"/>
          <c:x val="0.11966885389326334"/>
          <c:y val="0.24908859446461407"/>
          <c:w val="0.86572319534914244"/>
          <c:h val="0.54926399170163609"/>
        </c:manualLayout>
      </c:layout>
      <c:lineChart>
        <c:grouping val="standard"/>
        <c:ser>
          <c:idx val="0"/>
          <c:order val="0"/>
          <c:tx>
            <c:strRef>
              <c:f>'19-Proyeccion real del PRETOT'!$C$10</c:f>
              <c:strCache>
                <c:ptCount val="1"/>
                <c:pt idx="0">
                  <c:v>PRETOT</c:v>
                </c:pt>
              </c:strCache>
            </c:strRef>
          </c:tx>
          <c:spPr>
            <a:ln>
              <a:solidFill>
                <a:srgbClr val="FF0000"/>
              </a:solidFill>
            </a:ln>
          </c:spPr>
          <c:marker>
            <c:symbol val="none"/>
          </c:marker>
          <c:trendline>
            <c:trendlineType val="poly"/>
            <c:order val="4"/>
            <c:dispRSqr val="1"/>
            <c:trendlineLbl>
              <c:layout/>
              <c:numFmt formatCode="General" sourceLinked="0"/>
            </c:trendlineLbl>
          </c:trendline>
          <c:cat>
            <c:numRef>
              <c:f>'19-Proyeccion real del PRETOT'!$B$59:$B$73</c:f>
              <c:numCache>
                <c:formatCode>General</c:formatCode>
                <c:ptCount val="1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numCache>
            </c:numRef>
          </c:cat>
          <c:val>
            <c:numRef>
              <c:f>'19-Proyeccion real del PRETOT'!$C$13:$C$27</c:f>
              <c:numCache>
                <c:formatCode>#,##0.00</c:formatCode>
                <c:ptCount val="15"/>
                <c:pt idx="0">
                  <c:v>9.4774783801196083</c:v>
                </c:pt>
                <c:pt idx="1">
                  <c:v>8.5173837753665786</c:v>
                </c:pt>
                <c:pt idx="2">
                  <c:v>9.3479942810496812</c:v>
                </c:pt>
                <c:pt idx="3">
                  <c:v>9.6486467023080298</c:v>
                </c:pt>
                <c:pt idx="4">
                  <c:v>8.9401585347098429</c:v>
                </c:pt>
                <c:pt idx="5">
                  <c:v>9.4588272299579721</c:v>
                </c:pt>
                <c:pt idx="6">
                  <c:v>9.6246733816846248</c:v>
                </c:pt>
                <c:pt idx="7">
                  <c:v>10.622770135550281</c:v>
                </c:pt>
                <c:pt idx="8">
                  <c:v>11.48812098364985</c:v>
                </c:pt>
                <c:pt idx="9">
                  <c:v>11.527237300278491</c:v>
                </c:pt>
                <c:pt idx="10">
                  <c:v>13.207478945777604</c:v>
                </c:pt>
                <c:pt idx="11">
                  <c:v>11.058146935286631</c:v>
                </c:pt>
                <c:pt idx="12">
                  <c:v>10.575270831648373</c:v>
                </c:pt>
                <c:pt idx="13">
                  <c:v>9.7898945655695897</c:v>
                </c:pt>
                <c:pt idx="14">
                  <c:v>9.0686455705028415</c:v>
                </c:pt>
              </c:numCache>
            </c:numRef>
          </c:val>
        </c:ser>
        <c:ser>
          <c:idx val="1"/>
          <c:order val="1"/>
          <c:tx>
            <c:strRef>
              <c:f>'19-Proyeccion real del PRETOT'!$D$10</c:f>
              <c:strCache>
                <c:ptCount val="1"/>
                <c:pt idx="0">
                  <c:v>AVERAGE USA  REAL</c:v>
                </c:pt>
              </c:strCache>
            </c:strRef>
          </c:tx>
          <c:spPr>
            <a:ln>
              <a:solidFill>
                <a:srgbClr val="0070C0"/>
              </a:solidFill>
            </a:ln>
          </c:spPr>
          <c:marker>
            <c:symbol val="none"/>
          </c:marker>
          <c:cat>
            <c:numRef>
              <c:f>'19-Proyeccion real del PRETOT'!$B$59:$B$73</c:f>
              <c:numCache>
                <c:formatCode>General</c:formatCode>
                <c:ptCount val="1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numCache>
            </c:numRef>
          </c:cat>
          <c:val>
            <c:numRef>
              <c:f>'19-Proyeccion real del PRETOT'!$D$13:$D$27</c:f>
              <c:numCache>
                <c:formatCode>0.00</c:formatCode>
                <c:ptCount val="15"/>
                <c:pt idx="0">
                  <c:v>4.3675647317255564</c:v>
                </c:pt>
                <c:pt idx="1">
                  <c:v>4.2404338914350195</c:v>
                </c:pt>
                <c:pt idx="2">
                  <c:v>4.2567968846860458</c:v>
                </c:pt>
                <c:pt idx="3">
                  <c:v>4.4561829444377086</c:v>
                </c:pt>
                <c:pt idx="4">
                  <c:v>4.331042561499415</c:v>
                </c:pt>
                <c:pt idx="5">
                  <c:v>4.3832257927444624</c:v>
                </c:pt>
                <c:pt idx="6">
                  <c:v>4.3605789060401294</c:v>
                </c:pt>
                <c:pt idx="7">
                  <c:v>4.5143626000000001</c:v>
                </c:pt>
                <c:pt idx="8">
                  <c:v>4.7813650938187173</c:v>
                </c:pt>
                <c:pt idx="9">
                  <c:v>4.766591073832454</c:v>
                </c:pt>
                <c:pt idx="10">
                  <c:v>4.9747716932824968</c:v>
                </c:pt>
                <c:pt idx="11">
                  <c:v>4.9632037109606388</c:v>
                </c:pt>
                <c:pt idx="12">
                  <c:v>4.9117230971601558</c:v>
                </c:pt>
                <c:pt idx="13">
                  <c:v>4.8873546457776484</c:v>
                </c:pt>
                <c:pt idx="14">
                  <c:v>4.7826141114982583</c:v>
                </c:pt>
              </c:numCache>
            </c:numRef>
          </c:val>
        </c:ser>
        <c:marker val="1"/>
        <c:axId val="133180416"/>
        <c:axId val="133182208"/>
      </c:lineChart>
      <c:lineChart>
        <c:grouping val="standard"/>
        <c:ser>
          <c:idx val="2"/>
          <c:order val="2"/>
          <c:tx>
            <c:strRef>
              <c:f>'19-Proyeccion real del PRETOT'!$D$56</c:f>
              <c:strCache>
                <c:ptCount val="1"/>
                <c:pt idx="0">
                  <c:v>OIL PRICES USA</c:v>
                </c:pt>
              </c:strCache>
            </c:strRef>
          </c:tx>
          <c:spPr>
            <a:ln>
              <a:solidFill>
                <a:srgbClr val="00B050"/>
              </a:solidFill>
            </a:ln>
          </c:spPr>
          <c:marker>
            <c:symbol val="none"/>
          </c:marker>
          <c:cat>
            <c:numRef>
              <c:f>'19-Proyeccion real del PRETOT'!$B$59:$B$73</c:f>
              <c:numCache>
                <c:formatCode>General</c:formatCode>
                <c:ptCount val="1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numCache>
            </c:numRef>
          </c:cat>
          <c:val>
            <c:numRef>
              <c:f>'19-Proyeccion real del PRETOT'!$D$59:$D$73</c:f>
              <c:numCache>
                <c:formatCode>#,##0.00</c:formatCode>
                <c:ptCount val="15"/>
                <c:pt idx="0">
                  <c:v>9.4092119803413041</c:v>
                </c:pt>
                <c:pt idx="1">
                  <c:v>12.362350410138163</c:v>
                </c:pt>
                <c:pt idx="2">
                  <c:v>19.036001061998469</c:v>
                </c:pt>
                <c:pt idx="3">
                  <c:v>15.939398179520827</c:v>
                </c:pt>
                <c:pt idx="4">
                  <c:v>15.788638847695122</c:v>
                </c:pt>
                <c:pt idx="5">
                  <c:v>18.418015423324224</c:v>
                </c:pt>
                <c:pt idx="6">
                  <c:v>23.85071397152706</c:v>
                </c:pt>
                <c:pt idx="7">
                  <c:v>31.461561529231791</c:v>
                </c:pt>
                <c:pt idx="8">
                  <c:v>35.605021028641687</c:v>
                </c:pt>
                <c:pt idx="9">
                  <c:v>37.562724786523312</c:v>
                </c:pt>
                <c:pt idx="10">
                  <c:v>50.587616880548637</c:v>
                </c:pt>
                <c:pt idx="11">
                  <c:v>31.499264685869125</c:v>
                </c:pt>
                <c:pt idx="12">
                  <c:v>39.671031415127395</c:v>
                </c:pt>
                <c:pt idx="13">
                  <c:v>46.398713083213593</c:v>
                </c:pt>
              </c:numCache>
            </c:numRef>
          </c:val>
        </c:ser>
        <c:marker val="1"/>
        <c:axId val="133186304"/>
        <c:axId val="133184128"/>
      </c:lineChart>
      <c:catAx>
        <c:axId val="133180416"/>
        <c:scaling>
          <c:orientation val="minMax"/>
        </c:scaling>
        <c:axPos val="b"/>
        <c:numFmt formatCode="General" sourceLinked="1"/>
        <c:tickLblPos val="nextTo"/>
        <c:crossAx val="133182208"/>
        <c:crosses val="autoZero"/>
        <c:auto val="1"/>
        <c:lblAlgn val="ctr"/>
        <c:lblOffset val="100"/>
        <c:tickLblSkip val="2"/>
      </c:catAx>
      <c:valAx>
        <c:axId val="133182208"/>
        <c:scaling>
          <c:orientation val="minMax"/>
          <c:max val="20"/>
        </c:scaling>
        <c:axPos val="l"/>
        <c:majorGridlines/>
        <c:title>
          <c:tx>
            <c:rich>
              <a:bodyPr rot="0" vert="horz"/>
              <a:lstStyle/>
              <a:p>
                <a:pPr>
                  <a:defRPr/>
                </a:pPr>
                <a:r>
                  <a:rPr lang="es-ES"/>
                  <a:t>cent $</a:t>
                </a:r>
                <a:r>
                  <a:rPr lang="es-ES" baseline="0"/>
                  <a:t> / kWh</a:t>
                </a:r>
                <a:endParaRPr lang="es-ES"/>
              </a:p>
            </c:rich>
          </c:tx>
          <c:layout>
            <c:manualLayout>
              <c:xMode val="edge"/>
              <c:yMode val="edge"/>
              <c:x val="7.6775431861804286E-2"/>
              <c:y val="0.19796187153252567"/>
            </c:manualLayout>
          </c:layout>
        </c:title>
        <c:numFmt formatCode="#,##0" sourceLinked="0"/>
        <c:tickLblPos val="nextTo"/>
        <c:crossAx val="133180416"/>
        <c:crosses val="autoZero"/>
        <c:crossBetween val="between"/>
      </c:valAx>
      <c:valAx>
        <c:axId val="133184128"/>
        <c:scaling>
          <c:orientation val="minMax"/>
        </c:scaling>
        <c:axPos val="r"/>
        <c:title>
          <c:tx>
            <c:rich>
              <a:bodyPr rot="0" vert="horz"/>
              <a:lstStyle/>
              <a:p>
                <a:pPr>
                  <a:defRPr/>
                </a:pPr>
                <a:r>
                  <a:rPr lang="es-ES"/>
                  <a:t>$</a:t>
                </a:r>
                <a:r>
                  <a:rPr lang="es-ES" baseline="0"/>
                  <a:t> /Barril</a:t>
                </a:r>
                <a:endParaRPr lang="es-ES"/>
              </a:p>
            </c:rich>
          </c:tx>
          <c:layout>
            <c:manualLayout>
              <c:xMode val="edge"/>
              <c:yMode val="edge"/>
              <c:x val="0.83573886277651055"/>
              <c:y val="0.19396985556446192"/>
            </c:manualLayout>
          </c:layout>
        </c:title>
        <c:numFmt formatCode="#,##0" sourceLinked="0"/>
        <c:tickLblPos val="nextTo"/>
        <c:crossAx val="133186304"/>
        <c:crosses val="max"/>
        <c:crossBetween val="between"/>
      </c:valAx>
      <c:catAx>
        <c:axId val="133186304"/>
        <c:scaling>
          <c:orientation val="minMax"/>
        </c:scaling>
        <c:delete val="1"/>
        <c:axPos val="b"/>
        <c:numFmt formatCode="General" sourceLinked="1"/>
        <c:tickLblPos val="none"/>
        <c:crossAx val="133184128"/>
        <c:crosses val="autoZero"/>
        <c:auto val="1"/>
        <c:lblAlgn val="ctr"/>
        <c:lblOffset val="100"/>
      </c:catAx>
      <c:spPr>
        <a:gradFill>
          <a:gsLst>
            <a:gs pos="0">
              <a:srgbClr val="5E9EFF"/>
            </a:gs>
            <a:gs pos="39999">
              <a:srgbClr val="85C2FF"/>
            </a:gs>
            <a:gs pos="70000">
              <a:srgbClr val="C4D6EB"/>
            </a:gs>
            <a:gs pos="100000">
              <a:srgbClr val="FFEBFA"/>
            </a:gs>
          </a:gsLst>
          <a:lin ang="5400000" scaled="0"/>
        </a:gradFill>
      </c:spPr>
    </c:plotArea>
    <c:legend>
      <c:legendPos val="b"/>
      <c:layout>
        <c:manualLayout>
          <c:xMode val="edge"/>
          <c:yMode val="edge"/>
          <c:x val="4.6935179167863154E-2"/>
          <c:y val="0.92548572147044494"/>
          <c:w val="0.89589271590571329"/>
          <c:h val="7.0522262561491175E-2"/>
        </c:manualLayout>
      </c:layout>
      <c:txPr>
        <a:bodyPr/>
        <a:lstStyle/>
        <a:p>
          <a:pPr>
            <a:defRPr sz="800"/>
          </a:pPr>
          <a:endParaRPr lang="es-ES"/>
        </a:p>
      </c:txPr>
    </c:legend>
    <c:plotVisOnly val="1"/>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printSettings>
    <c:headerFooter/>
    <c:pageMargins b="0.7480314960629928" l="0.70866141732283539" r="0.70866141732283539" t="0.7480314960629928" header="0.31496062992126039" footer="0.31496062992126039"/>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22003018372703431"/>
          <c:y val="0.18565981335666376"/>
          <c:w val="0.74941426071740969"/>
          <c:h val="0.57467191601050005"/>
        </c:manualLayout>
      </c:layout>
      <c:lineChart>
        <c:grouping val="standard"/>
        <c:ser>
          <c:idx val="0"/>
          <c:order val="0"/>
          <c:tx>
            <c:strRef>
              <c:f>'19-Proyeccion real del PRETOT'!$K$11</c:f>
              <c:strCache>
                <c:ptCount val="1"/>
                <c:pt idx="0">
                  <c:v>Reference </c:v>
                </c:pt>
              </c:strCache>
            </c:strRef>
          </c:tx>
          <c:marker>
            <c:symbol val="none"/>
          </c:marker>
          <c:cat>
            <c:numRef>
              <c:f>'19-Proyeccion real del PRETOT'!$B$28:$B$42</c:f>
              <c:numCache>
                <c:formatCode>General</c:formatCode>
                <c:ptCount val="15"/>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numCache>
            </c:numRef>
          </c:cat>
          <c:val>
            <c:numRef>
              <c:f>'19-Proyeccion real del PRETOT'!$K$28:$K$42</c:f>
              <c:numCache>
                <c:formatCode>0.0000</c:formatCode>
                <c:ptCount val="15"/>
                <c:pt idx="0">
                  <c:v>2.2436988729122032E-3</c:v>
                </c:pt>
                <c:pt idx="1">
                  <c:v>4.3744680851063311E-3</c:v>
                </c:pt>
                <c:pt idx="2">
                  <c:v>1.7050298380223428E-3</c:v>
                </c:pt>
                <c:pt idx="3">
                  <c:v>1.6433853738699877E-3</c:v>
                </c:pt>
                <c:pt idx="4">
                  <c:v>7.76645803828524E-4</c:v>
                </c:pt>
                <c:pt idx="5">
                  <c:v>-8.3487531941139892E-3</c:v>
                </c:pt>
                <c:pt idx="6">
                  <c:v>-7.3566245402113539E-3</c:v>
                </c:pt>
                <c:pt idx="7">
                  <c:v>9.9414389291689886E-3</c:v>
                </c:pt>
                <c:pt idx="8">
                  <c:v>6.0019606404893011E-5</c:v>
                </c:pt>
                <c:pt idx="9">
                  <c:v>7.9930383214610323E-4</c:v>
                </c:pt>
                <c:pt idx="10">
                  <c:v>7.7128503931127579E-3</c:v>
                </c:pt>
                <c:pt idx="11">
                  <c:v>6.6702432045779858E-3</c:v>
                </c:pt>
                <c:pt idx="12">
                  <c:v>-2.2951493559878466E-3</c:v>
                </c:pt>
                <c:pt idx="13">
                  <c:v>-3.5922865013776617E-3</c:v>
                </c:pt>
                <c:pt idx="14">
                  <c:v>2.9009531703274583E-3</c:v>
                </c:pt>
              </c:numCache>
            </c:numRef>
          </c:val>
        </c:ser>
        <c:ser>
          <c:idx val="1"/>
          <c:order val="1"/>
          <c:tx>
            <c:strRef>
              <c:f>'19-Proyeccion real del PRETOT'!$L$11</c:f>
              <c:strCache>
                <c:ptCount val="1"/>
                <c:pt idx="0">
                  <c:v>High Growth</c:v>
                </c:pt>
              </c:strCache>
            </c:strRef>
          </c:tx>
          <c:marker>
            <c:symbol val="none"/>
          </c:marker>
          <c:cat>
            <c:numRef>
              <c:f>'19-Proyeccion real del PRETOT'!$B$28:$B$42</c:f>
              <c:numCache>
                <c:formatCode>General</c:formatCode>
                <c:ptCount val="15"/>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numCache>
            </c:numRef>
          </c:cat>
          <c:val>
            <c:numRef>
              <c:f>'19-Proyeccion real del PRETOT'!$L$28:$L$42</c:f>
              <c:numCache>
                <c:formatCode>0.0000</c:formatCode>
                <c:ptCount val="15"/>
                <c:pt idx="0">
                  <c:v>2.2288572850370558E-2</c:v>
                </c:pt>
                <c:pt idx="1">
                  <c:v>3.9883187317479862E-3</c:v>
                </c:pt>
                <c:pt idx="2">
                  <c:v>1.3345767944428211E-3</c:v>
                </c:pt>
                <c:pt idx="3">
                  <c:v>1.2868017550118349E-3</c:v>
                </c:pt>
                <c:pt idx="4">
                  <c:v>-8.6614055540610302E-3</c:v>
                </c:pt>
                <c:pt idx="5">
                  <c:v>-8.4322184955872848E-3</c:v>
                </c:pt>
                <c:pt idx="6">
                  <c:v>-7.4386611828112237E-3</c:v>
                </c:pt>
                <c:pt idx="7">
                  <c:v>8.4286740728445331E-4</c:v>
                </c:pt>
                <c:pt idx="8">
                  <c:v>6.0019606404893011E-5</c:v>
                </c:pt>
                <c:pt idx="9">
                  <c:v>9.3531440358396445E-3</c:v>
                </c:pt>
                <c:pt idx="10">
                  <c:v>7.4993519078598858E-3</c:v>
                </c:pt>
                <c:pt idx="11">
                  <c:v>-1.6493455822366165E-3</c:v>
                </c:pt>
                <c:pt idx="12">
                  <c:v>5.6864894491641671E-3</c:v>
                </c:pt>
                <c:pt idx="13">
                  <c:v>-3.7168218986403101E-3</c:v>
                </c:pt>
                <c:pt idx="14">
                  <c:v>2.720141700405021E-3</c:v>
                </c:pt>
              </c:numCache>
            </c:numRef>
          </c:val>
        </c:ser>
        <c:ser>
          <c:idx val="2"/>
          <c:order val="2"/>
          <c:tx>
            <c:strRef>
              <c:f>'19-Proyeccion real del PRETOT'!$M$11</c:f>
              <c:strCache>
                <c:ptCount val="1"/>
                <c:pt idx="0">
                  <c:v>Low  Growth</c:v>
                </c:pt>
              </c:strCache>
            </c:strRef>
          </c:tx>
          <c:marker>
            <c:symbol val="none"/>
          </c:marker>
          <c:cat>
            <c:numRef>
              <c:f>'19-Proyeccion real del PRETOT'!$B$28:$B$42</c:f>
              <c:numCache>
                <c:formatCode>General</c:formatCode>
                <c:ptCount val="15"/>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numCache>
            </c:numRef>
          </c:cat>
          <c:val>
            <c:numRef>
              <c:f>'19-Proyeccion real del PRETOT'!$M$28:$M$42</c:f>
              <c:numCache>
                <c:formatCode>0.0000</c:formatCode>
                <c:ptCount val="15"/>
                <c:pt idx="0">
                  <c:v>-1.0101010101010055E-2</c:v>
                </c:pt>
                <c:pt idx="1">
                  <c:v>-7.7787381158169744E-3</c:v>
                </c:pt>
                <c:pt idx="2">
                  <c:v>-5.2713851498045194E-3</c:v>
                </c:pt>
                <c:pt idx="3">
                  <c:v>1.2212425255903492E-2</c:v>
                </c:pt>
                <c:pt idx="4">
                  <c:v>2.0139526640567951E-3</c:v>
                </c:pt>
                <c:pt idx="5">
                  <c:v>1.1330477432169861E-3</c:v>
                </c:pt>
                <c:pt idx="6">
                  <c:v>-8.1770981401401155E-3</c:v>
                </c:pt>
                <c:pt idx="7">
                  <c:v>2.0047530873197328E-3</c:v>
                </c:pt>
                <c:pt idx="8">
                  <c:v>1.1678955366689614E-3</c:v>
                </c:pt>
                <c:pt idx="9">
                  <c:v>9.2262571539136751E-3</c:v>
                </c:pt>
                <c:pt idx="10">
                  <c:v>9.4937120414062548E-4</c:v>
                </c:pt>
                <c:pt idx="11">
                  <c:v>7.9300298867319707E-3</c:v>
                </c:pt>
                <c:pt idx="12">
                  <c:v>-1.3765162717448431E-3</c:v>
                </c:pt>
                <c:pt idx="13">
                  <c:v>6.0822731915686212E-3</c:v>
                </c:pt>
                <c:pt idx="14">
                  <c:v>-3.4657424686753702E-3</c:v>
                </c:pt>
              </c:numCache>
            </c:numRef>
          </c:val>
        </c:ser>
        <c:marker val="1"/>
        <c:axId val="133203840"/>
        <c:axId val="133205376"/>
      </c:lineChart>
      <c:catAx>
        <c:axId val="133203840"/>
        <c:scaling>
          <c:orientation val="minMax"/>
        </c:scaling>
        <c:axPos val="b"/>
        <c:numFmt formatCode="General" sourceLinked="1"/>
        <c:tickLblPos val="nextTo"/>
        <c:crossAx val="133205376"/>
        <c:crossesAt val="-1.5000000000000013E-2"/>
        <c:lblAlgn val="ctr"/>
        <c:lblOffset val="100"/>
      </c:catAx>
      <c:valAx>
        <c:axId val="133205376"/>
        <c:scaling>
          <c:orientation val="minMax"/>
        </c:scaling>
        <c:axPos val="l"/>
        <c:majorGridlines/>
        <c:numFmt formatCode="0.0000" sourceLinked="1"/>
        <c:tickLblPos val="nextTo"/>
        <c:crossAx val="133203840"/>
        <c:crossesAt val="1"/>
        <c:crossBetween val="between"/>
      </c:valAx>
    </c:plotArea>
    <c:legend>
      <c:legendPos val="b"/>
      <c:layout/>
    </c:legend>
    <c:plotVisOnly val="1"/>
  </c:chart>
  <c:printSettings>
    <c:headerFooter/>
    <c:pageMargins b="0.75000000000000056" l="0.70000000000000051" r="0.70000000000000051" t="0.75000000000000056" header="0.30000000000000027" footer="0.30000000000000027"/>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PROYECCIONES</a:t>
            </a:r>
            <a:r>
              <a:rPr lang="es-ES" baseline="0"/>
              <a:t> DE PRECIOS PRETOT</a:t>
            </a:r>
          </a:p>
          <a:p>
            <a:pPr>
              <a:defRPr/>
            </a:pPr>
            <a:r>
              <a:rPr lang="es-ES" sz="1100" baseline="0"/>
              <a:t>s/ ESCENARIOS DE CRECIMIENTO</a:t>
            </a:r>
            <a:endParaRPr lang="es-ES" sz="1100"/>
          </a:p>
        </c:rich>
      </c:tx>
      <c:layout/>
      <c:overlay val="1"/>
    </c:title>
    <c:plotArea>
      <c:layout>
        <c:manualLayout>
          <c:layoutTarget val="inner"/>
          <c:xMode val="edge"/>
          <c:yMode val="edge"/>
          <c:x val="0.16114129483814524"/>
          <c:y val="0.22732648002333056"/>
          <c:w val="0.79996981627296593"/>
          <c:h val="0.48765602216389631"/>
        </c:manualLayout>
      </c:layout>
      <c:lineChart>
        <c:grouping val="standard"/>
        <c:ser>
          <c:idx val="0"/>
          <c:order val="0"/>
          <c:tx>
            <c:strRef>
              <c:f>'19-Proyeccion real del PRETOT'!$H$11</c:f>
              <c:strCache>
                <c:ptCount val="1"/>
                <c:pt idx="0">
                  <c:v>Reference </c:v>
                </c:pt>
              </c:strCache>
            </c:strRef>
          </c:tx>
          <c:marker>
            <c:symbol val="none"/>
          </c:marker>
          <c:cat>
            <c:numRef>
              <c:f>'19-Proyeccion real del PRETOT'!$B$28:$B$42</c:f>
              <c:numCache>
                <c:formatCode>General</c:formatCode>
                <c:ptCount val="15"/>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numCache>
            </c:numRef>
          </c:cat>
          <c:val>
            <c:numRef>
              <c:f>'19-Proyeccion real del PRETOT'!$H$28:$H$42</c:f>
              <c:numCache>
                <c:formatCode>#,##0.00</c:formatCode>
                <c:ptCount val="15"/>
                <c:pt idx="0">
                  <c:v>9.0889928803482185</c:v>
                </c:pt>
                <c:pt idx="1">
                  <c:v>9.1287523896290601</c:v>
                </c:pt>
                <c:pt idx="2">
                  <c:v>9.1443171848372948</c:v>
                </c:pt>
                <c:pt idx="3">
                  <c:v>9.1593448219528852</c:v>
                </c:pt>
                <c:pt idx="4">
                  <c:v>9.1664583886746733</c:v>
                </c:pt>
                <c:pt idx="5">
                  <c:v>9.0899298899235124</c:v>
                </c:pt>
                <c:pt idx="6">
                  <c:v>9.0230586886265005</c:v>
                </c:pt>
                <c:pt idx="7">
                  <c:v>9.1127608755337892</c:v>
                </c:pt>
                <c:pt idx="8">
                  <c:v>9.1133078198547999</c:v>
                </c:pt>
                <c:pt idx="9">
                  <c:v>9.1205921217187367</c:v>
                </c:pt>
                <c:pt idx="10">
                  <c:v>9.1909378842501557</c:v>
                </c:pt>
                <c:pt idx="11">
                  <c:v>9.252243675216274</c:v>
                </c:pt>
                <c:pt idx="12">
                  <c:v>9.2310083941036591</c:v>
                </c:pt>
                <c:pt idx="13">
                  <c:v>9.1978479672554165</c:v>
                </c:pt>
                <c:pt idx="14">
                  <c:v>9.224530493476216</c:v>
                </c:pt>
              </c:numCache>
            </c:numRef>
          </c:val>
        </c:ser>
        <c:ser>
          <c:idx val="1"/>
          <c:order val="1"/>
          <c:tx>
            <c:strRef>
              <c:f>'19-Proyeccion real del PRETOT'!$I$11</c:f>
              <c:strCache>
                <c:ptCount val="1"/>
                <c:pt idx="0">
                  <c:v>High Growth</c:v>
                </c:pt>
              </c:strCache>
            </c:strRef>
          </c:tx>
          <c:marker>
            <c:symbol val="none"/>
          </c:marker>
          <c:cat>
            <c:numRef>
              <c:f>'19-Proyeccion real del PRETOT'!$B$28:$B$42</c:f>
              <c:numCache>
                <c:formatCode>General</c:formatCode>
                <c:ptCount val="15"/>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numCache>
            </c:numRef>
          </c:cat>
          <c:val>
            <c:numRef>
              <c:f>'19-Proyeccion real del PRETOT'!$I$28:$I$42</c:f>
              <c:numCache>
                <c:formatCode>#,##0.00</c:formatCode>
                <c:ptCount val="15"/>
                <c:pt idx="0">
                  <c:v>9.2707727379551841</c:v>
                </c:pt>
                <c:pt idx="1">
                  <c:v>9.3077475345237488</c:v>
                </c:pt>
                <c:pt idx="2">
                  <c:v>9.3201694383918561</c:v>
                </c:pt>
                <c:pt idx="3">
                  <c:v>9.3321626487821856</c:v>
                </c:pt>
                <c:pt idx="4">
                  <c:v>9.2513330033846231</c:v>
                </c:pt>
                <c:pt idx="5">
                  <c:v>9.1733237421246461</c:v>
                </c:pt>
                <c:pt idx="6">
                  <c:v>9.1050864948867432</c:v>
                </c:pt>
                <c:pt idx="7">
                  <c:v>9.1127608755337892</c:v>
                </c:pt>
                <c:pt idx="8">
                  <c:v>9.1133078198547999</c:v>
                </c:pt>
                <c:pt idx="9">
                  <c:v>9.1985459005368462</c:v>
                </c:pt>
                <c:pt idx="10">
                  <c:v>9.2675290332855731</c:v>
                </c:pt>
                <c:pt idx="11">
                  <c:v>9.252243675216274</c:v>
                </c:pt>
                <c:pt idx="12">
                  <c:v>9.3048564612564864</c:v>
                </c:pt>
                <c:pt idx="13">
                  <c:v>9.2702719669975835</c:v>
                </c:pt>
                <c:pt idx="14">
                  <c:v>9.295488420349109</c:v>
                </c:pt>
              </c:numCache>
            </c:numRef>
          </c:val>
        </c:ser>
        <c:ser>
          <c:idx val="2"/>
          <c:order val="2"/>
          <c:tx>
            <c:strRef>
              <c:f>'19-Proyeccion real del PRETOT'!$J$11</c:f>
              <c:strCache>
                <c:ptCount val="1"/>
                <c:pt idx="0">
                  <c:v>Low  Growth</c:v>
                </c:pt>
              </c:strCache>
            </c:strRef>
          </c:tx>
          <c:marker>
            <c:symbol val="none"/>
          </c:marker>
          <c:cat>
            <c:numRef>
              <c:f>'19-Proyeccion real del PRETOT'!$B$28:$B$42</c:f>
              <c:numCache>
                <c:formatCode>General</c:formatCode>
                <c:ptCount val="15"/>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numCache>
            </c:numRef>
          </c:cat>
          <c:val>
            <c:numRef>
              <c:f>'19-Proyeccion real del PRETOT'!$J$28:$J$42</c:f>
              <c:numCache>
                <c:formatCode>#,##0.00</c:formatCode>
                <c:ptCount val="15"/>
                <c:pt idx="0">
                  <c:v>8.9770430899927121</c:v>
                </c:pt>
                <c:pt idx="1">
                  <c:v>8.9072130227412547</c:v>
                </c:pt>
                <c:pt idx="2">
                  <c:v>8.8602596722870306</c:v>
                </c:pt>
                <c:pt idx="3">
                  <c:v>8.9684649312827318</c:v>
                </c:pt>
                <c:pt idx="4">
                  <c:v>8.9865269951235884</c:v>
                </c:pt>
                <c:pt idx="5">
                  <c:v>8.9967091592547721</c:v>
                </c:pt>
                <c:pt idx="6">
                  <c:v>8.9231421855212485</c:v>
                </c:pt>
                <c:pt idx="7">
                  <c:v>8.941030882366265</c:v>
                </c:pt>
                <c:pt idx="8">
                  <c:v>8.9514730724269995</c:v>
                </c:pt>
                <c:pt idx="9">
                  <c:v>9.0340616648995447</c:v>
                </c:pt>
                <c:pt idx="10">
                  <c:v>9.0426383429006307</c:v>
                </c:pt>
                <c:pt idx="11">
                  <c:v>9.1143467352147418</c:v>
                </c:pt>
                <c:pt idx="12">
                  <c:v>9.1018006886273941</c:v>
                </c:pt>
                <c:pt idx="13">
                  <c:v>9.1571603269508337</c:v>
                </c:pt>
                <c:pt idx="14">
                  <c:v>9.1254239675132514</c:v>
                </c:pt>
              </c:numCache>
            </c:numRef>
          </c:val>
        </c:ser>
        <c:marker val="1"/>
        <c:axId val="133263744"/>
        <c:axId val="133265280"/>
      </c:lineChart>
      <c:catAx>
        <c:axId val="133263744"/>
        <c:scaling>
          <c:orientation val="minMax"/>
        </c:scaling>
        <c:axPos val="b"/>
        <c:numFmt formatCode="General" sourceLinked="1"/>
        <c:tickLblPos val="nextTo"/>
        <c:crossAx val="133265280"/>
        <c:crosses val="autoZero"/>
        <c:auto val="1"/>
        <c:lblAlgn val="ctr"/>
        <c:lblOffset val="100"/>
        <c:tickLblSkip val="2"/>
      </c:catAx>
      <c:valAx>
        <c:axId val="133265280"/>
        <c:scaling>
          <c:orientation val="minMax"/>
          <c:max val="9.5"/>
        </c:scaling>
        <c:axPos val="l"/>
        <c:majorGridlines/>
        <c:title>
          <c:tx>
            <c:rich>
              <a:bodyPr rot="0" vert="horz"/>
              <a:lstStyle/>
              <a:p>
                <a:pPr>
                  <a:defRPr/>
                </a:pPr>
                <a:r>
                  <a:rPr lang="es-ES"/>
                  <a:t>$/kWh</a:t>
                </a:r>
              </a:p>
            </c:rich>
          </c:tx>
          <c:layout>
            <c:manualLayout>
              <c:xMode val="edge"/>
              <c:yMode val="edge"/>
              <c:x val="0.15833333333333352"/>
              <c:y val="0.21836504811898524"/>
            </c:manualLayout>
          </c:layout>
        </c:title>
        <c:numFmt formatCode="#,##0.00" sourceLinked="1"/>
        <c:tickLblPos val="nextTo"/>
        <c:crossAx val="133263744"/>
        <c:crosses val="autoZero"/>
        <c:crossBetween val="between"/>
      </c:valAx>
    </c:plotArea>
    <c:legend>
      <c:legendPos val="b"/>
      <c:layout/>
    </c:legend>
    <c:plotVisOnly val="1"/>
  </c:chart>
  <c:printSettings>
    <c:headerFooter/>
    <c:pageMargins b="0.75000000000000056" l="0.70000000000000051" r="0.70000000000000051" t="0.75000000000000056" header="0.30000000000000027" footer="0.30000000000000027"/>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s-ES"/>
  <c:chart>
    <c:plotArea>
      <c:layout/>
      <c:lineChart>
        <c:grouping val="standard"/>
        <c:ser>
          <c:idx val="1"/>
          <c:order val="0"/>
          <c:tx>
            <c:strRef>
              <c:f>'19-Proyeccion real del PRETOT'!$Z$55</c:f>
              <c:strCache>
                <c:ptCount val="1"/>
                <c:pt idx="0">
                  <c:v>PRETOT</c:v>
                </c:pt>
              </c:strCache>
            </c:strRef>
          </c:tx>
          <c:marker>
            <c:symbol val="none"/>
          </c:marker>
          <c:cat>
            <c:numRef>
              <c:f>'19-Proyeccion real del PRETOT'!$Y$59:$Y$88</c:f>
              <c:numCache>
                <c:formatCode>General</c:formatCode>
                <c:ptCount val="3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pt idx="25">
                  <c:v>2023</c:v>
                </c:pt>
                <c:pt idx="26">
                  <c:v>2024</c:v>
                </c:pt>
                <c:pt idx="27">
                  <c:v>2025</c:v>
                </c:pt>
                <c:pt idx="28">
                  <c:v>2026</c:v>
                </c:pt>
                <c:pt idx="29">
                  <c:v>2027</c:v>
                </c:pt>
              </c:numCache>
            </c:numRef>
          </c:cat>
          <c:val>
            <c:numRef>
              <c:f>'19-Proyeccion real del PRETOT'!$Z$59:$Z$88</c:f>
              <c:numCache>
                <c:formatCode>0.00%</c:formatCode>
                <c:ptCount val="30"/>
                <c:pt idx="1">
                  <c:v>-2.910794644142789E-2</c:v>
                </c:pt>
                <c:pt idx="2">
                  <c:v>3.8588016391616353E-3</c:v>
                </c:pt>
                <c:pt idx="3">
                  <c:v>4.683945820129698E-2</c:v>
                </c:pt>
                <c:pt idx="4">
                  <c:v>-2.8082415937275673E-2</c:v>
                </c:pt>
                <c:pt idx="5">
                  <c:v>1.2048653529505238E-2</c:v>
                </c:pt>
                <c:pt idx="6">
                  <c:v>-5.1667168827624899E-3</c:v>
                </c:pt>
                <c:pt idx="7">
                  <c:v>3.5266806833114339E-2</c:v>
                </c:pt>
                <c:pt idx="8">
                  <c:v>5.9145114709819202E-2</c:v>
                </c:pt>
                <c:pt idx="9">
                  <c:v>-3.0899167280413753E-3</c:v>
                </c:pt>
                <c:pt idx="10">
                  <c:v>4.3674948453814144E-2</c:v>
                </c:pt>
                <c:pt idx="11">
                  <c:v>-2.3253292884733989E-3</c:v>
                </c:pt>
                <c:pt idx="12">
                  <c:v>-1.0372456340406622E-2</c:v>
                </c:pt>
                <c:pt idx="13">
                  <c:v>-4.961283627042512E-3</c:v>
                </c:pt>
                <c:pt idx="14">
                  <c:v>-2.1430925699218339E-2</c:v>
                </c:pt>
                <c:pt idx="15">
                  <c:v>2.2436988729122032E-3</c:v>
                </c:pt>
                <c:pt idx="16">
                  <c:v>4.3744680851063311E-3</c:v>
                </c:pt>
                <c:pt idx="17">
                  <c:v>1.7050298380223428E-3</c:v>
                </c:pt>
                <c:pt idx="18">
                  <c:v>1.6433853738699877E-3</c:v>
                </c:pt>
                <c:pt idx="19">
                  <c:v>7.76645803828524E-4</c:v>
                </c:pt>
                <c:pt idx="20">
                  <c:v>-8.3487531941139892E-3</c:v>
                </c:pt>
                <c:pt idx="21">
                  <c:v>-7.3566245402112429E-3</c:v>
                </c:pt>
                <c:pt idx="22">
                  <c:v>9.9414389291689886E-3</c:v>
                </c:pt>
                <c:pt idx="23">
                  <c:v>6.0019606404893011E-5</c:v>
                </c:pt>
                <c:pt idx="24">
                  <c:v>7.9930383214610323E-4</c:v>
                </c:pt>
                <c:pt idx="25">
                  <c:v>7.7128503931127579E-3</c:v>
                </c:pt>
                <c:pt idx="26">
                  <c:v>6.6702432045779858E-3</c:v>
                </c:pt>
                <c:pt idx="27">
                  <c:v>-2.2951493559878466E-3</c:v>
                </c:pt>
                <c:pt idx="28">
                  <c:v>-3.5922865013776617E-3</c:v>
                </c:pt>
                <c:pt idx="29">
                  <c:v>2.9009531703274583E-3</c:v>
                </c:pt>
              </c:numCache>
            </c:numRef>
          </c:val>
        </c:ser>
        <c:ser>
          <c:idx val="2"/>
          <c:order val="1"/>
          <c:tx>
            <c:strRef>
              <c:f>'19-Proyeccion real del PRETOT'!$AA$55</c:f>
              <c:strCache>
                <c:ptCount val="1"/>
                <c:pt idx="0">
                  <c:v>OIL PRICES USA</c:v>
                </c:pt>
              </c:strCache>
            </c:strRef>
          </c:tx>
          <c:marker>
            <c:symbol val="none"/>
          </c:marker>
          <c:cat>
            <c:numRef>
              <c:f>'19-Proyeccion real del PRETOT'!$Y$59:$Y$88</c:f>
              <c:numCache>
                <c:formatCode>General</c:formatCode>
                <c:ptCount val="3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pt idx="25">
                  <c:v>2023</c:v>
                </c:pt>
                <c:pt idx="26">
                  <c:v>2024</c:v>
                </c:pt>
                <c:pt idx="27">
                  <c:v>2025</c:v>
                </c:pt>
                <c:pt idx="28">
                  <c:v>2026</c:v>
                </c:pt>
                <c:pt idx="29">
                  <c:v>2027</c:v>
                </c:pt>
              </c:numCache>
            </c:numRef>
          </c:cat>
          <c:val>
            <c:numRef>
              <c:f>'19-Proyeccion real del PRETOT'!$AA$59:$AA$88</c:f>
              <c:numCache>
                <c:formatCode>0.00%</c:formatCode>
                <c:ptCount val="30"/>
                <c:pt idx="1">
                  <c:v>0.31385608443798052</c:v>
                </c:pt>
                <c:pt idx="2">
                  <c:v>0.53983671635673369</c:v>
                </c:pt>
                <c:pt idx="3">
                  <c:v>-0.16267087149198489</c:v>
                </c:pt>
                <c:pt idx="4">
                  <c:v>-9.4582825604672127E-3</c:v>
                </c:pt>
                <c:pt idx="5">
                  <c:v>0.16653598837704409</c:v>
                </c:pt>
                <c:pt idx="6">
                  <c:v>0.29496655439450725</c:v>
                </c:pt>
                <c:pt idx="7">
                  <c:v>0.31910355248864031</c:v>
                </c:pt>
                <c:pt idx="8">
                  <c:v>0.13169910513056049</c:v>
                </c:pt>
                <c:pt idx="9">
                  <c:v>5.4983923652419442E-2</c:v>
                </c:pt>
                <c:pt idx="10">
                  <c:v>0.34675045987873521</c:v>
                </c:pt>
                <c:pt idx="11">
                  <c:v>-0.37733250490436021</c:v>
                </c:pt>
                <c:pt idx="12">
                  <c:v>0.25942722189715761</c:v>
                </c:pt>
                <c:pt idx="13">
                  <c:v>0.16958675961020742</c:v>
                </c:pt>
                <c:pt idx="14">
                  <c:v>2.0135879123104328E-2</c:v>
                </c:pt>
                <c:pt idx="15">
                  <c:v>9.4761273412499625E-2</c:v>
                </c:pt>
                <c:pt idx="16">
                  <c:v>6.9325839043043347E-2</c:v>
                </c:pt>
                <c:pt idx="17">
                  <c:v>5.4222464575298002E-2</c:v>
                </c:pt>
                <c:pt idx="18">
                  <c:v>2.5720458344604458E-2</c:v>
                </c:pt>
                <c:pt idx="19">
                  <c:v>2.4784873959203368E-2</c:v>
                </c:pt>
                <c:pt idx="20">
                  <c:v>9.0786124145230129E-3</c:v>
                </c:pt>
                <c:pt idx="21">
                  <c:v>9.847959035069298E-3</c:v>
                </c:pt>
                <c:pt idx="22">
                  <c:v>1.1588168408223298E-2</c:v>
                </c:pt>
                <c:pt idx="23">
                  <c:v>1.0371558422942684E-2</c:v>
                </c:pt>
                <c:pt idx="24">
                  <c:v>1.1179625871456933E-2</c:v>
                </c:pt>
                <c:pt idx="25">
                  <c:v>8.1904899344067417E-3</c:v>
                </c:pt>
                <c:pt idx="26">
                  <c:v>8.0941301944128519E-3</c:v>
                </c:pt>
                <c:pt idx="27">
                  <c:v>7.7841395980602357E-3</c:v>
                </c:pt>
                <c:pt idx="28">
                  <c:v>6.9032907351072037E-3</c:v>
                </c:pt>
                <c:pt idx="29">
                  <c:v>6.5100315830162181E-3</c:v>
                </c:pt>
              </c:numCache>
            </c:numRef>
          </c:val>
        </c:ser>
        <c:marker val="1"/>
        <c:axId val="159656576"/>
        <c:axId val="68301184"/>
      </c:lineChart>
      <c:catAx>
        <c:axId val="159656576"/>
        <c:scaling>
          <c:orientation val="minMax"/>
        </c:scaling>
        <c:axPos val="b"/>
        <c:numFmt formatCode="General" sourceLinked="1"/>
        <c:tickLblPos val="nextTo"/>
        <c:crossAx val="68301184"/>
        <c:crosses val="autoZero"/>
        <c:auto val="1"/>
        <c:lblAlgn val="ctr"/>
        <c:lblOffset val="100"/>
        <c:tickLblSkip val="5"/>
      </c:catAx>
      <c:valAx>
        <c:axId val="68301184"/>
        <c:scaling>
          <c:orientation val="minMax"/>
          <c:min val="-0.4"/>
        </c:scaling>
        <c:axPos val="l"/>
        <c:majorGridlines/>
        <c:numFmt formatCode="General" sourceLinked="1"/>
        <c:tickLblPos val="nextTo"/>
        <c:crossAx val="159656576"/>
        <c:crosses val="autoZero"/>
        <c:crossBetween val="between"/>
      </c:valAx>
    </c:plotArea>
    <c:legend>
      <c:legendPos val="b"/>
      <c:layout/>
    </c:legend>
    <c:plotVisOnly val="1"/>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s-ES"/>
  <c:chart>
    <c:plotArea>
      <c:layout/>
      <c:lineChart>
        <c:grouping val="standard"/>
        <c:ser>
          <c:idx val="0"/>
          <c:order val="0"/>
          <c:tx>
            <c:strRef>
              <c:f>'19-Proyeccion real del PRETOT'!$AA$55</c:f>
              <c:strCache>
                <c:ptCount val="1"/>
                <c:pt idx="0">
                  <c:v>OIL PRICES USA</c:v>
                </c:pt>
              </c:strCache>
            </c:strRef>
          </c:tx>
          <c:marker>
            <c:symbol val="none"/>
          </c:marker>
          <c:cat>
            <c:numRef>
              <c:f>'19-Proyeccion real del PRETOT'!$Y$59:$Y$74</c:f>
              <c:numCache>
                <c:formatCode>General</c:formatCode>
                <c:ptCount val="16"/>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numCache>
            </c:numRef>
          </c:cat>
          <c:val>
            <c:numRef>
              <c:f>'19-Proyeccion real del PRETOT'!$AA$60:$AA$74</c:f>
              <c:numCache>
                <c:formatCode>0.00%</c:formatCode>
                <c:ptCount val="15"/>
                <c:pt idx="0">
                  <c:v>0.31385608443798052</c:v>
                </c:pt>
                <c:pt idx="1">
                  <c:v>0.53983671635673369</c:v>
                </c:pt>
                <c:pt idx="2">
                  <c:v>-0.16267087149198489</c:v>
                </c:pt>
                <c:pt idx="3">
                  <c:v>-9.4582825604672127E-3</c:v>
                </c:pt>
                <c:pt idx="4">
                  <c:v>0.16653598837704409</c:v>
                </c:pt>
                <c:pt idx="5">
                  <c:v>0.29496655439450725</c:v>
                </c:pt>
                <c:pt idx="6">
                  <c:v>0.31910355248864031</c:v>
                </c:pt>
                <c:pt idx="7">
                  <c:v>0.13169910513056049</c:v>
                </c:pt>
                <c:pt idx="8">
                  <c:v>5.4983923652419442E-2</c:v>
                </c:pt>
                <c:pt idx="9">
                  <c:v>0.34675045987873521</c:v>
                </c:pt>
                <c:pt idx="10">
                  <c:v>-0.37733250490436021</c:v>
                </c:pt>
                <c:pt idx="11">
                  <c:v>0.25942722189715761</c:v>
                </c:pt>
                <c:pt idx="12">
                  <c:v>0.16958675961020742</c:v>
                </c:pt>
                <c:pt idx="13">
                  <c:v>2.0135879123104328E-2</c:v>
                </c:pt>
                <c:pt idx="14">
                  <c:v>9.4761273412499625E-2</c:v>
                </c:pt>
              </c:numCache>
            </c:numRef>
          </c:val>
        </c:ser>
        <c:ser>
          <c:idx val="1"/>
          <c:order val="1"/>
          <c:tx>
            <c:strRef>
              <c:f>'19-Proyeccion real del PRETOT'!$Z$55</c:f>
              <c:strCache>
                <c:ptCount val="1"/>
                <c:pt idx="0">
                  <c:v>PRETOT</c:v>
                </c:pt>
              </c:strCache>
            </c:strRef>
          </c:tx>
          <c:marker>
            <c:symbol val="none"/>
          </c:marker>
          <c:cat>
            <c:numRef>
              <c:f>'19-Proyeccion real del PRETOT'!$Y$59:$Y$74</c:f>
              <c:numCache>
                <c:formatCode>General</c:formatCode>
                <c:ptCount val="16"/>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numCache>
            </c:numRef>
          </c:cat>
          <c:val>
            <c:numRef>
              <c:f>'19-Proyeccion real del PRETOT'!$Z$59:$Z$74</c:f>
              <c:numCache>
                <c:formatCode>0.00%</c:formatCode>
                <c:ptCount val="16"/>
                <c:pt idx="1">
                  <c:v>-2.910794644142789E-2</c:v>
                </c:pt>
                <c:pt idx="2">
                  <c:v>3.8588016391616353E-3</c:v>
                </c:pt>
                <c:pt idx="3">
                  <c:v>4.683945820129698E-2</c:v>
                </c:pt>
                <c:pt idx="4">
                  <c:v>-2.8082415937275673E-2</c:v>
                </c:pt>
                <c:pt idx="5">
                  <c:v>1.2048653529505238E-2</c:v>
                </c:pt>
                <c:pt idx="6">
                  <c:v>-5.1667168827624899E-3</c:v>
                </c:pt>
                <c:pt idx="7">
                  <c:v>3.5266806833114339E-2</c:v>
                </c:pt>
                <c:pt idx="8">
                  <c:v>5.9145114709819202E-2</c:v>
                </c:pt>
                <c:pt idx="9">
                  <c:v>-3.0899167280413753E-3</c:v>
                </c:pt>
                <c:pt idx="10">
                  <c:v>4.3674948453814144E-2</c:v>
                </c:pt>
                <c:pt idx="11">
                  <c:v>-2.3253292884733989E-3</c:v>
                </c:pt>
                <c:pt idx="12">
                  <c:v>-1.0372456340406622E-2</c:v>
                </c:pt>
                <c:pt idx="13">
                  <c:v>-4.961283627042512E-3</c:v>
                </c:pt>
                <c:pt idx="14">
                  <c:v>-2.1430925699218339E-2</c:v>
                </c:pt>
                <c:pt idx="15">
                  <c:v>2.2436988729122032E-3</c:v>
                </c:pt>
              </c:numCache>
            </c:numRef>
          </c:val>
        </c:ser>
        <c:marker val="1"/>
        <c:axId val="155952256"/>
        <c:axId val="155954176"/>
      </c:lineChart>
      <c:catAx>
        <c:axId val="155952256"/>
        <c:scaling>
          <c:orientation val="minMax"/>
        </c:scaling>
        <c:axPos val="b"/>
        <c:numFmt formatCode="General" sourceLinked="1"/>
        <c:tickLblPos val="nextTo"/>
        <c:crossAx val="155954176"/>
        <c:crosses val="autoZero"/>
        <c:auto val="1"/>
        <c:lblAlgn val="ctr"/>
        <c:lblOffset val="100"/>
      </c:catAx>
      <c:valAx>
        <c:axId val="155954176"/>
        <c:scaling>
          <c:orientation val="minMax"/>
        </c:scaling>
        <c:axPos val="l"/>
        <c:majorGridlines/>
        <c:numFmt formatCode="0.00%" sourceLinked="1"/>
        <c:tickLblPos val="nextTo"/>
        <c:crossAx val="155952256"/>
        <c:crosses val="autoZero"/>
        <c:crossBetween val="between"/>
      </c:valAx>
    </c:plotArea>
    <c:legend>
      <c:legendPos val="b"/>
      <c:layout/>
    </c:legend>
    <c:plotVisOnly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0.12765969503643224"/>
          <c:y val="0.25615763546798026"/>
          <c:w val="0.86267006039771565"/>
          <c:h val="0.48768472906404786"/>
        </c:manualLayout>
      </c:layout>
      <c:lineChart>
        <c:grouping val="standard"/>
        <c:ser>
          <c:idx val="1"/>
          <c:order val="0"/>
          <c:tx>
            <c:strRef>
              <c:f>'11-PIB-Moderado Base-1982'!$B$5</c:f>
              <c:strCache>
                <c:ptCount val="1"/>
                <c:pt idx="0">
                  <c:v>TOTAL</c:v>
                </c:pt>
              </c:strCache>
            </c:strRef>
          </c:tx>
          <c:marker>
            <c:symbol val="none"/>
          </c:marker>
          <c:trendline>
            <c:spPr>
              <a:ln>
                <a:solidFill>
                  <a:srgbClr val="000000"/>
                </a:solidFill>
              </a:ln>
            </c:spPr>
            <c:trendlineType val="poly"/>
            <c:order val="2"/>
          </c:trendline>
          <c:cat>
            <c:numRef>
              <c:f>'11-PIB-Moderado Base-1982'!$A$40:$A$64</c:f>
              <c:numCache>
                <c:formatCode>General</c:formatCode>
                <c:ptCount val="2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numCache>
            </c:numRef>
          </c:cat>
          <c:val>
            <c:numRef>
              <c:f>'11-PIB-Moderado Base-1982'!$B$40:$B$64</c:f>
              <c:numCache>
                <c:formatCode>_-* #,##0_-;\-* #,##0_-;_-* "-"??_-;_-@_-</c:formatCode>
                <c:ptCount val="25"/>
                <c:pt idx="0">
                  <c:v>7881.9392110616636</c:v>
                </c:pt>
                <c:pt idx="1">
                  <c:v>8373.9903204816346</c:v>
                </c:pt>
                <c:pt idx="2">
                  <c:v>9081.422412048847</c:v>
                </c:pt>
                <c:pt idx="3">
                  <c:v>9788.3682028639505</c:v>
                </c:pt>
                <c:pt idx="4">
                  <c:v>11002.804099426618</c:v>
                </c:pt>
                <c:pt idx="5">
                  <c:v>12132.014935933918</c:v>
                </c:pt>
                <c:pt idx="6">
                  <c:v>12529.358670555303</c:v>
                </c:pt>
                <c:pt idx="7">
                  <c:v>13523.004739279306</c:v>
                </c:pt>
                <c:pt idx="8">
                  <c:v>15092.879271304215</c:v>
                </c:pt>
                <c:pt idx="9">
                  <c:v>16502.240181051773</c:v>
                </c:pt>
                <c:pt idx="10">
                  <c:v>17772.625102183771</c:v>
                </c:pt>
                <c:pt idx="11">
                  <c:v>18837.205345804581</c:v>
                </c:pt>
                <c:pt idx="12">
                  <c:v>19941.536509202375</c:v>
                </c:pt>
                <c:pt idx="13">
                  <c:v>21157.970236263718</c:v>
                </c:pt>
                <c:pt idx="14">
                  <c:v>22215.868748076904</c:v>
                </c:pt>
                <c:pt idx="15">
                  <c:v>23326.662185480749</c:v>
                </c:pt>
                <c:pt idx="16">
                  <c:v>24492.995294754786</c:v>
                </c:pt>
                <c:pt idx="17">
                  <c:v>25717.645059492526</c:v>
                </c:pt>
                <c:pt idx="18">
                  <c:v>27003.527312467155</c:v>
                </c:pt>
                <c:pt idx="19">
                  <c:v>28353.703678090515</c:v>
                </c:pt>
                <c:pt idx="20">
                  <c:v>29771.388861995041</c:v>
                </c:pt>
                <c:pt idx="21">
                  <c:v>31259.958305094795</c:v>
                </c:pt>
                <c:pt idx="22">
                  <c:v>32822.956220349537</c:v>
                </c:pt>
                <c:pt idx="23">
                  <c:v>34464.104031367016</c:v>
                </c:pt>
                <c:pt idx="24">
                  <c:v>36187.309232935368</c:v>
                </c:pt>
              </c:numCache>
            </c:numRef>
          </c:val>
        </c:ser>
        <c:marker val="1"/>
        <c:axId val="130362368"/>
        <c:axId val="130364160"/>
      </c:lineChart>
      <c:catAx>
        <c:axId val="130362368"/>
        <c:scaling>
          <c:orientation val="minMax"/>
        </c:scaling>
        <c:axPos val="b"/>
        <c:numFmt formatCode="General" sourceLinked="1"/>
        <c:tickLblPos val="nextTo"/>
        <c:spPr>
          <a:ln w="3175">
            <a:solidFill>
              <a:srgbClr val="000000"/>
            </a:solidFill>
            <a:prstDash val="solid"/>
          </a:ln>
        </c:spPr>
        <c:txPr>
          <a:bodyPr rot="-2700000" vert="horz"/>
          <a:lstStyle/>
          <a:p>
            <a:pPr>
              <a:defRPr sz="800" b="0" i="1" u="none" strike="noStrike" baseline="0">
                <a:solidFill>
                  <a:srgbClr val="0000FF"/>
                </a:solidFill>
                <a:latin typeface="Arial"/>
                <a:ea typeface="Arial"/>
                <a:cs typeface="Arial"/>
              </a:defRPr>
            </a:pPr>
            <a:endParaRPr lang="es-ES"/>
          </a:p>
        </c:txPr>
        <c:crossAx val="130364160"/>
        <c:crosses val="autoZero"/>
        <c:auto val="1"/>
        <c:lblAlgn val="ctr"/>
        <c:lblOffset val="100"/>
        <c:tickLblSkip val="2"/>
        <c:tickMarkSkip val="1"/>
      </c:catAx>
      <c:valAx>
        <c:axId val="130364160"/>
        <c:scaling>
          <c:orientation val="minMax"/>
          <c:min val="5000"/>
        </c:scaling>
        <c:axPos val="l"/>
        <c:majorGridlines>
          <c:spPr>
            <a:ln w="12700">
              <a:solidFill>
                <a:srgbClr val="FF0000"/>
              </a:solidFill>
              <a:prstDash val="solid"/>
            </a:ln>
          </c:spPr>
        </c:majorGridlines>
        <c:numFmt formatCode="_-* #,##0_-;\-* #,##0_-;_-* &quot;-&quot;??_-;_-@_-" sourceLinked="1"/>
        <c:tickLblPos val="nextTo"/>
        <c:spPr>
          <a:ln w="9525">
            <a:noFill/>
          </a:ln>
        </c:spPr>
        <c:txPr>
          <a:bodyPr rot="0" vert="horz"/>
          <a:lstStyle/>
          <a:p>
            <a:pPr>
              <a:defRPr sz="975" b="0" i="1" u="none" strike="noStrike" baseline="0">
                <a:solidFill>
                  <a:srgbClr val="0000FF"/>
                </a:solidFill>
                <a:latin typeface="Arial"/>
                <a:ea typeface="Arial"/>
                <a:cs typeface="Arial"/>
              </a:defRPr>
            </a:pPr>
            <a:endParaRPr lang="es-ES"/>
          </a:p>
        </c:txPr>
        <c:crossAx val="130362368"/>
        <c:crosses val="autoZero"/>
        <c:crossBetween val="between"/>
        <c:majorUnit val="10000"/>
      </c:valAx>
      <c:spPr>
        <a:gradFill>
          <a:gsLst>
            <a:gs pos="0">
              <a:srgbClr val="5E9EFF"/>
            </a:gs>
            <a:gs pos="39999">
              <a:srgbClr val="85C2FF"/>
            </a:gs>
            <a:gs pos="70000">
              <a:srgbClr val="C4D6EB"/>
            </a:gs>
            <a:gs pos="100000">
              <a:srgbClr val="FFEBFA"/>
            </a:gs>
          </a:gsLst>
          <a:lin ang="5400000" scaled="0"/>
        </a:gradFill>
        <a:ln w="25400">
          <a:noFill/>
        </a:ln>
      </c:spPr>
    </c:plotArea>
    <c:plotVisOnly val="1"/>
    <c:dispBlanksAs val="gap"/>
  </c:chart>
  <c:spPr>
    <a:solidFill>
      <a:srgbClr val="CCFFCC"/>
    </a:solidFill>
    <a:ln w="9525">
      <a:noFill/>
    </a:ln>
  </c:spPr>
  <c:txPr>
    <a:bodyPr/>
    <a:lstStyle/>
    <a:p>
      <a:pPr>
        <a:defRPr sz="975" b="0" i="0" u="none" strike="noStrike" baseline="0">
          <a:solidFill>
            <a:srgbClr val="000000"/>
          </a:solidFill>
          <a:latin typeface="Arial"/>
          <a:ea typeface="Arial"/>
          <a:cs typeface="Arial"/>
        </a:defRPr>
      </a:pPr>
      <a:endParaRPr lang="es-ES"/>
    </a:p>
  </c:txPr>
  <c:printSettings>
    <c:headerFooter alignWithMargins="0"/>
    <c:pageMargins b="1" l="0.75000000000000722" r="0.7500000000000072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125" b="1" i="0" u="none" strike="noStrike" baseline="0">
                <a:solidFill>
                  <a:srgbClr val="000000"/>
                </a:solidFill>
                <a:latin typeface="Arial"/>
                <a:ea typeface="Arial"/>
                <a:cs typeface="Arial"/>
              </a:defRPr>
            </a:pPr>
            <a:r>
              <a:rPr lang="es-ES" sz="1125" b="1" i="0" strike="noStrike">
                <a:solidFill>
                  <a:srgbClr val="000000"/>
                </a:solidFill>
                <a:latin typeface="Arial"/>
                <a:cs typeface="Arial"/>
              </a:rPr>
              <a:t>PIB (Millones de Balboas a precios de 1982)</a:t>
            </a:r>
          </a:p>
          <a:p>
            <a:pPr>
              <a:defRPr sz="1125" b="1" i="0" u="none" strike="noStrike" baseline="0">
                <a:solidFill>
                  <a:srgbClr val="000000"/>
                </a:solidFill>
                <a:latin typeface="Arial"/>
                <a:ea typeface="Arial"/>
                <a:cs typeface="Arial"/>
              </a:defRPr>
            </a:pPr>
            <a:r>
              <a:rPr lang="es-ES" sz="925" b="1" i="0" strike="noStrike">
                <a:solidFill>
                  <a:srgbClr val="000000"/>
                </a:solidFill>
                <a:latin typeface="Arial"/>
                <a:cs typeface="Arial"/>
              </a:rPr>
              <a:t>DATOS HISTÓRICOS</a:t>
            </a:r>
          </a:p>
        </c:rich>
      </c:tx>
      <c:layout>
        <c:manualLayout>
          <c:xMode val="edge"/>
          <c:yMode val="edge"/>
          <c:x val="4.3052878712159355E-2"/>
          <c:y val="4.1096073666139002E-2"/>
        </c:manualLayout>
      </c:layout>
      <c:spPr>
        <a:noFill/>
        <a:ln w="25400">
          <a:noFill/>
        </a:ln>
      </c:spPr>
    </c:title>
    <c:plotArea>
      <c:layout>
        <c:manualLayout>
          <c:layoutTarget val="inner"/>
          <c:xMode val="edge"/>
          <c:yMode val="edge"/>
          <c:x val="0.13502948323359074"/>
          <c:y val="0.22374573041383541"/>
          <c:w val="0.83953113488710751"/>
          <c:h val="0.53600338093331557"/>
        </c:manualLayout>
      </c:layout>
      <c:lineChart>
        <c:grouping val="standard"/>
        <c:ser>
          <c:idx val="0"/>
          <c:order val="0"/>
          <c:tx>
            <c:strRef>
              <c:f>'11-PIB-Moderado Base-1982'!$B$6</c:f>
              <c:strCache>
                <c:ptCount val="1"/>
                <c:pt idx="0">
                  <c:v>PIB REAL</c:v>
                </c:pt>
              </c:strCache>
            </c:strRef>
          </c:tx>
          <c:marker>
            <c:symbol val="none"/>
          </c:marker>
          <c:trendline>
            <c:spPr>
              <a:ln>
                <a:solidFill>
                  <a:srgbClr val="FF0000"/>
                </a:solidFill>
              </a:ln>
            </c:spPr>
            <c:trendlineType val="poly"/>
            <c:order val="2"/>
          </c:trendline>
          <c:cat>
            <c:numRef>
              <c:f>'11-PIB-Moderado Base-1982'!$A$7:$A$49</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'11-PIB-Moderado Base-1982'!$B$7:$B$49</c:f>
              <c:numCache>
                <c:formatCode>_-* #,##0_-;\-* #,##0_-;_-* "-"??_-;_-@_-</c:formatCode>
                <c:ptCount val="43"/>
                <c:pt idx="0">
                  <c:v>2351.4156921131657</c:v>
                </c:pt>
                <c:pt idx="1">
                  <c:v>2577.6500691901069</c:v>
                </c:pt>
                <c:pt idx="2">
                  <c:v>2689.0848543566476</c:v>
                </c:pt>
                <c:pt idx="3">
                  <c:v>2823.437834166356</c:v>
                </c:pt>
                <c:pt idx="4">
                  <c:v>2903.6383679935257</c:v>
                </c:pt>
                <c:pt idx="5">
                  <c:v>2910.1245026717997</c:v>
                </c:pt>
                <c:pt idx="6">
                  <c:v>2949.1723957981726</c:v>
                </c:pt>
                <c:pt idx="7">
                  <c:v>2985.6550172110965</c:v>
                </c:pt>
                <c:pt idx="8">
                  <c:v>3300.2084216849612</c:v>
                </c:pt>
                <c:pt idx="9">
                  <c:v>3453.0450719817218</c:v>
                </c:pt>
                <c:pt idx="10">
                  <c:v>4141.5</c:v>
                </c:pt>
                <c:pt idx="11">
                  <c:v>4522.8</c:v>
                </c:pt>
                <c:pt idx="12">
                  <c:v>4764.7</c:v>
                </c:pt>
                <c:pt idx="13">
                  <c:v>4550.7000000000007</c:v>
                </c:pt>
                <c:pt idx="14">
                  <c:v>4674.0000000000009</c:v>
                </c:pt>
                <c:pt idx="15">
                  <c:v>4905.0000000000009</c:v>
                </c:pt>
                <c:pt idx="16">
                  <c:v>5080.0000000000009</c:v>
                </c:pt>
                <c:pt idx="17">
                  <c:v>4988.1000000000004</c:v>
                </c:pt>
                <c:pt idx="18">
                  <c:v>4320.7</c:v>
                </c:pt>
                <c:pt idx="19">
                  <c:v>4388.2000000000007</c:v>
                </c:pt>
                <c:pt idx="20">
                  <c:v>4743.6000000000013</c:v>
                </c:pt>
                <c:pt idx="21">
                  <c:v>5190.4000000000005</c:v>
                </c:pt>
                <c:pt idx="22">
                  <c:v>5616.1</c:v>
                </c:pt>
                <c:pt idx="23">
                  <c:v>5922.5</c:v>
                </c:pt>
                <c:pt idx="24">
                  <c:v>6091.3</c:v>
                </c:pt>
                <c:pt idx="25">
                  <c:v>6198</c:v>
                </c:pt>
                <c:pt idx="26">
                  <c:v>6372.2000000000007</c:v>
                </c:pt>
                <c:pt idx="27">
                  <c:v>6807.2766047027162</c:v>
                </c:pt>
                <c:pt idx="28">
                  <c:v>6947.1999999999989</c:v>
                </c:pt>
                <c:pt idx="29">
                  <c:v>7169.9000000000005</c:v>
                </c:pt>
                <c:pt idx="30">
                  <c:v>7345.6999999999989</c:v>
                </c:pt>
                <c:pt idx="31">
                  <c:v>7372.61010719755</c:v>
                </c:pt>
                <c:pt idx="32">
                  <c:v>7682.2686741081388</c:v>
                </c:pt>
                <c:pt idx="33">
                  <c:v>7881.9392110616636</c:v>
                </c:pt>
                <c:pt idx="34">
                  <c:v>8373.9903204816346</c:v>
                </c:pt>
                <c:pt idx="35">
                  <c:v>9081.422412048847</c:v>
                </c:pt>
                <c:pt idx="36">
                  <c:v>9788.3682028639505</c:v>
                </c:pt>
                <c:pt idx="37">
                  <c:v>11002.804099426618</c:v>
                </c:pt>
                <c:pt idx="38">
                  <c:v>12132.014935933918</c:v>
                </c:pt>
                <c:pt idx="39">
                  <c:v>12529.358670555303</c:v>
                </c:pt>
                <c:pt idx="40">
                  <c:v>13523.004739279306</c:v>
                </c:pt>
                <c:pt idx="41">
                  <c:v>15092.879271304215</c:v>
                </c:pt>
                <c:pt idx="42">
                  <c:v>16502.240181051773</c:v>
                </c:pt>
              </c:numCache>
            </c:numRef>
          </c:val>
        </c:ser>
        <c:marker val="1"/>
        <c:axId val="130749568"/>
        <c:axId val="130751104"/>
      </c:lineChart>
      <c:catAx>
        <c:axId val="130749568"/>
        <c:scaling>
          <c:orientation val="minMax"/>
        </c:scaling>
        <c:axPos val="b"/>
        <c:numFmt formatCode="General" sourceLinked="1"/>
        <c:tickLblPos val="nextTo"/>
        <c:spPr>
          <a:ln w="3175">
            <a:solidFill>
              <a:srgbClr val="000000"/>
            </a:solidFill>
            <a:prstDash val="solid"/>
          </a:ln>
        </c:spPr>
        <c:txPr>
          <a:bodyPr rot="-2700000" vert="horz"/>
          <a:lstStyle/>
          <a:p>
            <a:pPr>
              <a:defRPr sz="800" b="0" i="1" u="none" strike="noStrike" baseline="0">
                <a:solidFill>
                  <a:srgbClr val="0000FF"/>
                </a:solidFill>
                <a:latin typeface="Arial"/>
                <a:ea typeface="Arial"/>
                <a:cs typeface="Arial"/>
              </a:defRPr>
            </a:pPr>
            <a:endParaRPr lang="es-ES"/>
          </a:p>
        </c:txPr>
        <c:crossAx val="130751104"/>
        <c:crosses val="autoZero"/>
        <c:auto val="1"/>
        <c:lblAlgn val="ctr"/>
        <c:lblOffset val="100"/>
        <c:tickLblSkip val="2"/>
        <c:tickMarkSkip val="1"/>
      </c:catAx>
      <c:valAx>
        <c:axId val="130751104"/>
        <c:scaling>
          <c:orientation val="minMax"/>
          <c:max val="20000"/>
        </c:scaling>
        <c:axPos val="l"/>
        <c:majorGridlines>
          <c:spPr>
            <a:ln w="12700">
              <a:solidFill>
                <a:srgbClr val="FF0000"/>
              </a:solidFill>
              <a:prstDash val="solid"/>
            </a:ln>
          </c:spPr>
        </c:majorGridlines>
        <c:numFmt formatCode="_-* #,##0_-;\-* #,##0_-;_-* &quot;-&quot;??_-;_-@_-" sourceLinked="1"/>
        <c:tickLblPos val="nextTo"/>
        <c:spPr>
          <a:ln w="9525">
            <a:noFill/>
          </a:ln>
        </c:spPr>
        <c:txPr>
          <a:bodyPr rot="0" vert="horz"/>
          <a:lstStyle/>
          <a:p>
            <a:pPr>
              <a:defRPr sz="800" b="0" i="1" u="none" strike="noStrike" baseline="0">
                <a:solidFill>
                  <a:srgbClr val="0000FF"/>
                </a:solidFill>
                <a:latin typeface="Arial"/>
                <a:ea typeface="Arial"/>
                <a:cs typeface="Arial"/>
              </a:defRPr>
            </a:pPr>
            <a:endParaRPr lang="es-ES"/>
          </a:p>
        </c:txPr>
        <c:crossAx val="130749568"/>
        <c:crosses val="autoZero"/>
        <c:crossBetween val="between"/>
        <c:majorUnit val="4000"/>
      </c:valAx>
      <c:spPr>
        <a:gradFill>
          <a:gsLst>
            <a:gs pos="0">
              <a:srgbClr val="5E9EFF"/>
            </a:gs>
            <a:gs pos="39999">
              <a:srgbClr val="85C2FF"/>
            </a:gs>
            <a:gs pos="70000">
              <a:srgbClr val="C4D6EB"/>
            </a:gs>
            <a:gs pos="100000">
              <a:srgbClr val="FFEBFA"/>
            </a:gs>
          </a:gsLst>
          <a:lin ang="5400000" scaled="0"/>
        </a:gradFill>
        <a:ln w="25400">
          <a:noFill/>
        </a:ln>
      </c:spPr>
    </c:plotArea>
    <c:legend>
      <c:legendPos val="b"/>
      <c:layout>
        <c:manualLayout>
          <c:xMode val="edge"/>
          <c:yMode val="edge"/>
          <c:x val="0.19835616438356166"/>
          <c:y val="0.90519151207793935"/>
          <c:w val="0.60328767123287674"/>
          <c:h val="9.4808422919738067E-2"/>
        </c:manualLayout>
      </c:layout>
    </c:legend>
    <c:plotVisOnly val="1"/>
    <c:dispBlanksAs val="gap"/>
  </c:chart>
  <c:spPr>
    <a:solidFill>
      <a:srgbClr val="CCFFCC"/>
    </a:solidFill>
    <a:ln w="9525">
      <a:noFill/>
    </a:ln>
  </c:spPr>
  <c:txPr>
    <a:bodyPr/>
    <a:lstStyle/>
    <a:p>
      <a:pPr>
        <a:defRPr sz="975" b="0" i="0" u="none" strike="noStrike" baseline="0">
          <a:solidFill>
            <a:srgbClr val="000000"/>
          </a:solidFill>
          <a:latin typeface="Arial"/>
          <a:ea typeface="Arial"/>
          <a:cs typeface="Arial"/>
        </a:defRPr>
      </a:pPr>
      <a:endParaRPr lang="es-ES"/>
    </a:p>
  </c:txPr>
  <c:printSettings>
    <c:headerFooter alignWithMargins="0"/>
    <c:pageMargins b="1" l="0.75000000000000722" r="0.75000000000000722" t="1" header="0" footer="0"/>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025" b="1" i="0" u="none" strike="noStrike" baseline="0">
                <a:solidFill>
                  <a:srgbClr val="000000"/>
                </a:solidFill>
                <a:latin typeface="Arial"/>
                <a:ea typeface="Arial"/>
                <a:cs typeface="Arial"/>
              </a:defRPr>
            </a:pPr>
            <a:r>
              <a:rPr lang="es-ES" sz="1025" b="1" i="0" strike="noStrike">
                <a:solidFill>
                  <a:srgbClr val="000000"/>
                </a:solidFill>
                <a:latin typeface="Arial"/>
                <a:cs typeface="Arial"/>
              </a:rPr>
              <a:t>PIB MANUFACTURERO</a:t>
            </a:r>
          </a:p>
          <a:p>
            <a:pPr>
              <a:defRPr sz="1025" b="1" i="0" u="none" strike="noStrike" baseline="0">
                <a:solidFill>
                  <a:srgbClr val="000000"/>
                </a:solidFill>
                <a:latin typeface="Arial"/>
                <a:ea typeface="Arial"/>
                <a:cs typeface="Arial"/>
              </a:defRPr>
            </a:pPr>
            <a:r>
              <a:rPr lang="es-ES" sz="850" b="1" i="0" strike="noStrike">
                <a:solidFill>
                  <a:srgbClr val="000000"/>
                </a:solidFill>
                <a:latin typeface="Arial"/>
                <a:cs typeface="Arial"/>
              </a:rPr>
              <a:t> (Millones de Balboas a precios de 1982)</a:t>
            </a:r>
          </a:p>
          <a:p>
            <a:pPr>
              <a:defRPr sz="1025" b="1" i="0" u="none" strike="noStrike" baseline="0">
                <a:solidFill>
                  <a:srgbClr val="000000"/>
                </a:solidFill>
                <a:latin typeface="Arial"/>
                <a:ea typeface="Arial"/>
                <a:cs typeface="Arial"/>
              </a:defRPr>
            </a:pPr>
            <a:r>
              <a:rPr lang="es-ES" sz="875" b="1" i="0" strike="noStrike">
                <a:solidFill>
                  <a:srgbClr val="000000"/>
                </a:solidFill>
                <a:latin typeface="Arial"/>
                <a:cs typeface="Arial"/>
              </a:rPr>
              <a:t>DATOS HISTÓRICOS 1970-2011</a:t>
            </a:r>
          </a:p>
          <a:p>
            <a:pPr>
              <a:defRPr sz="1025" b="1" i="0" u="none" strike="noStrike" baseline="0">
                <a:solidFill>
                  <a:srgbClr val="000000"/>
                </a:solidFill>
                <a:latin typeface="Arial"/>
                <a:ea typeface="Arial"/>
                <a:cs typeface="Arial"/>
              </a:defRPr>
            </a:pPr>
            <a:endParaRPr lang="es-ES" sz="875" b="1" i="0" strike="noStrike">
              <a:solidFill>
                <a:srgbClr val="000000"/>
              </a:solidFill>
              <a:latin typeface="Arial"/>
              <a:cs typeface="Arial"/>
            </a:endParaRPr>
          </a:p>
        </c:rich>
      </c:tx>
      <c:layout>
        <c:manualLayout>
          <c:xMode val="edge"/>
          <c:yMode val="edge"/>
          <c:x val="0.12500024220347028"/>
          <c:y val="2.4509921252303789E-2"/>
        </c:manualLayout>
      </c:layout>
      <c:spPr>
        <a:noFill/>
        <a:ln w="25400">
          <a:noFill/>
        </a:ln>
      </c:spPr>
    </c:title>
    <c:plotArea>
      <c:layout>
        <c:manualLayout>
          <c:layoutTarget val="inner"/>
          <c:xMode val="edge"/>
          <c:yMode val="edge"/>
          <c:x val="0.12896850386072534"/>
          <c:y val="0.26470714952488095"/>
          <c:w val="0.863096910452541"/>
          <c:h val="0.51470834629838835"/>
        </c:manualLayout>
      </c:layout>
      <c:lineChart>
        <c:grouping val="standard"/>
        <c:ser>
          <c:idx val="0"/>
          <c:order val="0"/>
          <c:tx>
            <c:strRef>
              <c:f>'11-PIB-Moderado Base-1982'!$D$6</c:f>
              <c:strCache>
                <c:ptCount val="1"/>
                <c:pt idx="0">
                  <c:v>PIB IND</c:v>
                </c:pt>
              </c:strCache>
            </c:strRef>
          </c:tx>
          <c:spPr>
            <a:ln w="38100">
              <a:solidFill>
                <a:srgbClr val="000080"/>
              </a:solidFill>
              <a:prstDash val="solid"/>
            </a:ln>
          </c:spPr>
          <c:marker>
            <c:symbol val="none"/>
          </c:marker>
          <c:trendline>
            <c:spPr>
              <a:ln w="38100">
                <a:solidFill>
                  <a:srgbClr val="FF00FF"/>
                </a:solidFill>
                <a:prstDash val="solid"/>
              </a:ln>
            </c:spPr>
            <c:trendlineType val="linear"/>
            <c:dispRSqr val="1"/>
            <c:dispEq val="1"/>
            <c:trendlineLbl>
              <c:layout>
                <c:manualLayout>
                  <c:x val="4.2468764001357004E-2"/>
                  <c:y val="-0.31469958932358238"/>
                </c:manualLayout>
              </c:layout>
              <c:tx>
                <c:rich>
                  <a:bodyPr/>
                  <a:lstStyle/>
                  <a:p>
                    <a:pPr>
                      <a:defRPr sz="1200" b="0" i="0" u="none" strike="noStrike" baseline="0">
                        <a:solidFill>
                          <a:srgbClr val="000000"/>
                        </a:solidFill>
                        <a:latin typeface="Arial"/>
                        <a:ea typeface="Arial"/>
                        <a:cs typeface="Arial"/>
                      </a:defRPr>
                    </a:pPr>
                    <a:r>
                      <a:rPr lang="es-ES" sz="1200" b="0" i="0" strike="noStrike">
                        <a:solidFill>
                          <a:srgbClr val="000000"/>
                        </a:solidFill>
                        <a:latin typeface="Arial"/>
                        <a:cs typeface="Arial"/>
                      </a:rPr>
                      <a:t>R</a:t>
                    </a:r>
                    <a:r>
                      <a:rPr lang="es-ES" sz="1200" b="0" i="0" strike="noStrike" baseline="30000">
                        <a:solidFill>
                          <a:srgbClr val="000000"/>
                        </a:solidFill>
                        <a:latin typeface="Arial"/>
                        <a:cs typeface="Arial"/>
                      </a:rPr>
                      <a:t>2</a:t>
                    </a:r>
                    <a:r>
                      <a:rPr lang="es-ES" sz="1200" b="0" i="0" strike="noStrike">
                        <a:solidFill>
                          <a:srgbClr val="000000"/>
                        </a:solidFill>
                        <a:latin typeface="Arial"/>
                        <a:cs typeface="Arial"/>
                      </a:rPr>
                      <a:t> = 0.7725</a:t>
                    </a:r>
                  </a:p>
                </c:rich>
              </c:tx>
              <c:numFmt formatCode="General" sourceLinked="0"/>
              <c:spPr>
                <a:noFill/>
                <a:ln w="25400">
                  <a:noFill/>
                </a:ln>
              </c:spPr>
            </c:trendlineLbl>
          </c:trendline>
          <c:cat>
            <c:numRef>
              <c:f>'11-PIB-Moderado Base-1982'!$A$7:$A$49</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'11-PIB-Moderado Base-1982'!$D$7:$D$49</c:f>
              <c:numCache>
                <c:formatCode>_-* #,##0.0_-;\-* #,##0.0_-;_-* "-"??_-;_-@_-</c:formatCode>
                <c:ptCount val="43"/>
                <c:pt idx="0">
                  <c:v>305.02217877094967</c:v>
                </c:pt>
                <c:pt idx="1">
                  <c:v>324.43050279329606</c:v>
                </c:pt>
                <c:pt idx="2">
                  <c:v>339.28625698324015</c:v>
                </c:pt>
                <c:pt idx="3">
                  <c:v>360.61145251396641</c:v>
                </c:pt>
                <c:pt idx="4">
                  <c:v>365.40363128491617</c:v>
                </c:pt>
                <c:pt idx="5">
                  <c:v>352.22513966480443</c:v>
                </c:pt>
                <c:pt idx="6">
                  <c:v>361.09067039106139</c:v>
                </c:pt>
                <c:pt idx="7">
                  <c:v>365.40363128491612</c:v>
                </c:pt>
                <c:pt idx="8">
                  <c:v>371.15424581005578</c:v>
                </c:pt>
                <c:pt idx="9">
                  <c:v>412.1273743016759</c:v>
                </c:pt>
                <c:pt idx="10">
                  <c:v>428.9</c:v>
                </c:pt>
                <c:pt idx="11">
                  <c:v>418</c:v>
                </c:pt>
                <c:pt idx="12">
                  <c:v>433</c:v>
                </c:pt>
                <c:pt idx="13">
                  <c:v>423.7</c:v>
                </c:pt>
                <c:pt idx="14">
                  <c:v>452.7</c:v>
                </c:pt>
                <c:pt idx="15">
                  <c:v>478.1</c:v>
                </c:pt>
                <c:pt idx="16">
                  <c:v>481.4</c:v>
                </c:pt>
                <c:pt idx="17">
                  <c:v>514.5</c:v>
                </c:pt>
                <c:pt idx="18">
                  <c:v>398.9</c:v>
                </c:pt>
                <c:pt idx="19">
                  <c:v>404.1</c:v>
                </c:pt>
                <c:pt idx="20">
                  <c:v>459.8</c:v>
                </c:pt>
                <c:pt idx="21">
                  <c:v>507.9</c:v>
                </c:pt>
                <c:pt idx="22">
                  <c:v>554.4</c:v>
                </c:pt>
                <c:pt idx="23">
                  <c:v>589.5</c:v>
                </c:pt>
                <c:pt idx="24">
                  <c:v>614.6</c:v>
                </c:pt>
                <c:pt idx="25">
                  <c:v>615.79999999999995</c:v>
                </c:pt>
                <c:pt idx="26">
                  <c:v>608.1</c:v>
                </c:pt>
                <c:pt idx="27">
                  <c:v>627.8988604503935</c:v>
                </c:pt>
                <c:pt idx="28">
                  <c:v>672.1</c:v>
                </c:pt>
                <c:pt idx="29">
                  <c:v>622</c:v>
                </c:pt>
                <c:pt idx="30">
                  <c:v>589.20000000000005</c:v>
                </c:pt>
                <c:pt idx="31">
                  <c:v>555.6</c:v>
                </c:pt>
                <c:pt idx="32">
                  <c:v>541.03735749780765</c:v>
                </c:pt>
                <c:pt idx="33">
                  <c:v>522.63104355451617</c:v>
                </c:pt>
                <c:pt idx="34">
                  <c:v>533.51242326805016</c:v>
                </c:pt>
                <c:pt idx="35">
                  <c:v>555.92481730488157</c:v>
                </c:pt>
                <c:pt idx="36">
                  <c:v>577.47103186202855</c:v>
                </c:pt>
                <c:pt idx="37">
                  <c:v>609.95276235018991</c:v>
                </c:pt>
                <c:pt idx="38">
                  <c:v>633.88172838351363</c:v>
                </c:pt>
                <c:pt idx="39">
                  <c:v>630.09143525285003</c:v>
                </c:pt>
                <c:pt idx="40">
                  <c:v>637.02087109032436</c:v>
                </c:pt>
                <c:pt idx="41">
                  <c:v>657.59263373282647</c:v>
                </c:pt>
                <c:pt idx="42">
                  <c:v>679.74957772108917</c:v>
                </c:pt>
              </c:numCache>
            </c:numRef>
          </c:val>
        </c:ser>
        <c:marker val="1"/>
        <c:axId val="130776448"/>
        <c:axId val="130794624"/>
      </c:lineChart>
      <c:catAx>
        <c:axId val="130776448"/>
        <c:scaling>
          <c:orientation val="minMax"/>
        </c:scaling>
        <c:axPos val="b"/>
        <c:numFmt formatCode="General" sourceLinked="1"/>
        <c:tickLblPos val="nextTo"/>
        <c:spPr>
          <a:ln w="3175">
            <a:solidFill>
              <a:srgbClr val="000000"/>
            </a:solidFill>
            <a:prstDash val="solid"/>
          </a:ln>
        </c:spPr>
        <c:txPr>
          <a:bodyPr rot="-2700000" vert="horz"/>
          <a:lstStyle/>
          <a:p>
            <a:pPr>
              <a:defRPr sz="800" b="0" i="1" u="none" strike="noStrike" baseline="0">
                <a:solidFill>
                  <a:srgbClr val="0000FF"/>
                </a:solidFill>
                <a:latin typeface="Arial"/>
                <a:ea typeface="Arial"/>
                <a:cs typeface="Arial"/>
              </a:defRPr>
            </a:pPr>
            <a:endParaRPr lang="es-ES"/>
          </a:p>
        </c:txPr>
        <c:crossAx val="130794624"/>
        <c:crosses val="autoZero"/>
        <c:auto val="1"/>
        <c:lblAlgn val="ctr"/>
        <c:lblOffset val="100"/>
        <c:tickLblSkip val="2"/>
        <c:tickMarkSkip val="1"/>
      </c:catAx>
      <c:valAx>
        <c:axId val="130794624"/>
        <c:scaling>
          <c:orientation val="minMax"/>
          <c:min val="200"/>
        </c:scaling>
        <c:axPos val="l"/>
        <c:majorGridlines>
          <c:spPr>
            <a:ln w="12700">
              <a:solidFill>
                <a:srgbClr val="FF0000"/>
              </a:solidFill>
              <a:prstDash val="solid"/>
            </a:ln>
          </c:spPr>
        </c:majorGridlines>
        <c:numFmt formatCode="#,##0" sourceLinked="0"/>
        <c:tickLblPos val="nextTo"/>
        <c:spPr>
          <a:ln w="9525">
            <a:noFill/>
          </a:ln>
        </c:spPr>
        <c:txPr>
          <a:bodyPr rot="0" vert="horz"/>
          <a:lstStyle/>
          <a:p>
            <a:pPr>
              <a:defRPr sz="1050" b="0" i="1" u="none" strike="noStrike" baseline="0">
                <a:solidFill>
                  <a:srgbClr val="0000FF"/>
                </a:solidFill>
                <a:latin typeface="Arial"/>
                <a:ea typeface="Arial"/>
                <a:cs typeface="Arial"/>
              </a:defRPr>
            </a:pPr>
            <a:endParaRPr lang="es-ES"/>
          </a:p>
        </c:txPr>
        <c:crossAx val="130776448"/>
        <c:crosses val="autoZero"/>
        <c:crossBetween val="between"/>
      </c:valAx>
      <c:spPr>
        <a:gradFill>
          <a:gsLst>
            <a:gs pos="0">
              <a:srgbClr val="5E9EFF"/>
            </a:gs>
            <a:gs pos="39999">
              <a:srgbClr val="85C2FF"/>
            </a:gs>
            <a:gs pos="70000">
              <a:srgbClr val="C4D6EB"/>
            </a:gs>
            <a:gs pos="100000">
              <a:srgbClr val="FFEBFA"/>
            </a:gs>
          </a:gsLst>
          <a:lin ang="5400000" scaled="0"/>
        </a:gradFill>
        <a:ln w="25400">
          <a:noFill/>
        </a:ln>
      </c:spPr>
    </c:plotArea>
    <c:legend>
      <c:legendPos val="r"/>
      <c:layout>
        <c:manualLayout>
          <c:xMode val="edge"/>
          <c:yMode val="edge"/>
          <c:x val="0.47817564471107776"/>
          <c:y val="0.61765014667284535"/>
          <c:w val="0.49801683798526347"/>
          <c:h val="0.11764762201105819"/>
        </c:manualLayout>
      </c:layout>
      <c:spPr>
        <a:noFill/>
        <a:ln w="3175">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es-ES"/>
        </a:p>
      </c:txPr>
    </c:legend>
    <c:plotVisOnly val="1"/>
    <c:dispBlanksAs val="gap"/>
  </c:chart>
  <c:spPr>
    <a:solidFill>
      <a:srgbClr val="CCFFFF"/>
    </a:solidFill>
    <a:ln w="9525">
      <a:noFill/>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000000000000722" r="0.75000000000000722" t="1" header="0" footer="0"/>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975" b="1" i="0" u="none" strike="noStrike" baseline="0">
                <a:solidFill>
                  <a:srgbClr val="000000"/>
                </a:solidFill>
                <a:latin typeface="Arial"/>
                <a:ea typeface="Arial"/>
                <a:cs typeface="Arial"/>
              </a:defRPr>
            </a:pPr>
            <a:r>
              <a:rPr lang="es-ES" sz="975" b="1" i="0" strike="noStrike">
                <a:solidFill>
                  <a:srgbClr val="000000"/>
                </a:solidFill>
                <a:latin typeface="Arial"/>
                <a:cs typeface="Arial"/>
              </a:rPr>
              <a:t>PIB MANUFACTURERO</a:t>
            </a:r>
            <a:endParaRPr lang="es-ES" sz="800" b="1" i="0" strike="noStrike">
              <a:solidFill>
                <a:srgbClr val="000000"/>
              </a:solidFill>
              <a:latin typeface="Arial"/>
              <a:cs typeface="Arial"/>
            </a:endParaRPr>
          </a:p>
          <a:p>
            <a:pPr>
              <a:defRPr sz="975" b="1" i="0" u="none" strike="noStrike" baseline="0">
                <a:solidFill>
                  <a:srgbClr val="000000"/>
                </a:solidFill>
                <a:latin typeface="Arial"/>
                <a:ea typeface="Arial"/>
                <a:cs typeface="Arial"/>
              </a:defRPr>
            </a:pPr>
            <a:r>
              <a:rPr lang="es-ES" sz="800" b="1" i="0" strike="noStrike">
                <a:solidFill>
                  <a:srgbClr val="000000"/>
                </a:solidFill>
                <a:latin typeface="Arial"/>
                <a:cs typeface="Arial"/>
              </a:rPr>
              <a:t> (Millones de Balboas a precios de 1982)</a:t>
            </a:r>
          </a:p>
          <a:p>
            <a:pPr>
              <a:defRPr sz="975" b="1" i="0" u="none" strike="noStrike" baseline="0">
                <a:solidFill>
                  <a:srgbClr val="000000"/>
                </a:solidFill>
                <a:latin typeface="Arial"/>
                <a:ea typeface="Arial"/>
                <a:cs typeface="Arial"/>
              </a:defRPr>
            </a:pPr>
            <a:r>
              <a:rPr lang="es-ES" sz="800" b="1" i="0" strike="noStrike">
                <a:solidFill>
                  <a:srgbClr val="000000"/>
                </a:solidFill>
                <a:latin typeface="Arial"/>
                <a:cs typeface="Arial"/>
              </a:rPr>
              <a:t>2003 - 2026</a:t>
            </a:r>
          </a:p>
          <a:p>
            <a:pPr>
              <a:defRPr sz="975" b="1" i="0" u="none" strike="noStrike" baseline="0">
                <a:solidFill>
                  <a:srgbClr val="000000"/>
                </a:solidFill>
                <a:latin typeface="Arial"/>
                <a:ea typeface="Arial"/>
                <a:cs typeface="Arial"/>
              </a:defRPr>
            </a:pPr>
            <a:r>
              <a:rPr lang="es-ES" sz="800" b="1" i="0" strike="noStrike">
                <a:solidFill>
                  <a:srgbClr val="000000"/>
                </a:solidFill>
                <a:latin typeface="Arial"/>
                <a:cs typeface="Arial"/>
              </a:rPr>
              <a:t> (Historia reciente + Proyección)</a:t>
            </a:r>
          </a:p>
        </c:rich>
      </c:tx>
      <c:layout>
        <c:manualLayout>
          <c:xMode val="edge"/>
          <c:yMode val="edge"/>
          <c:x val="0.10256430011922962"/>
          <c:y val="2.4509921252303789E-2"/>
        </c:manualLayout>
      </c:layout>
      <c:spPr>
        <a:noFill/>
        <a:ln w="25400">
          <a:noFill/>
        </a:ln>
      </c:spPr>
    </c:title>
    <c:plotArea>
      <c:layout>
        <c:manualLayout>
          <c:layoutTarget val="inner"/>
          <c:xMode val="edge"/>
          <c:yMode val="edge"/>
          <c:x val="0.12031581360140355"/>
          <c:y val="0.26470714952488095"/>
          <c:w val="0.86390698946581734"/>
          <c:h val="0.51470834629838835"/>
        </c:manualLayout>
      </c:layout>
      <c:lineChart>
        <c:grouping val="standard"/>
        <c:ser>
          <c:idx val="0"/>
          <c:order val="0"/>
          <c:tx>
            <c:strRef>
              <c:f>'11-PIB-Moderado Base-1982'!$D$6</c:f>
              <c:strCache>
                <c:ptCount val="1"/>
                <c:pt idx="0">
                  <c:v>PIB IND</c:v>
                </c:pt>
              </c:strCache>
            </c:strRef>
          </c:tx>
          <c:spPr>
            <a:ln w="38100">
              <a:solidFill>
                <a:srgbClr val="000080"/>
              </a:solidFill>
              <a:prstDash val="solid"/>
            </a:ln>
          </c:spPr>
          <c:marker>
            <c:symbol val="none"/>
          </c:marker>
          <c:trendline>
            <c:spPr>
              <a:ln w="38100">
                <a:solidFill>
                  <a:srgbClr val="FF0000"/>
                </a:solidFill>
                <a:prstDash val="solid"/>
              </a:ln>
            </c:spPr>
            <c:trendlineType val="linear"/>
            <c:dispRSqr val="1"/>
            <c:trendlineLbl>
              <c:layout>
                <c:manualLayout>
                  <c:x val="3.1758926124206936E-2"/>
                  <c:y val="-0.26960870815733001"/>
                </c:manualLayout>
              </c:layout>
              <c:tx>
                <c:rich>
                  <a:bodyPr/>
                  <a:lstStyle/>
                  <a:p>
                    <a:pPr>
                      <a:defRPr sz="1200" b="0" i="0" u="none" strike="noStrike" baseline="0">
                        <a:solidFill>
                          <a:srgbClr val="000000"/>
                        </a:solidFill>
                        <a:latin typeface="Arial"/>
                        <a:ea typeface="Arial"/>
                        <a:cs typeface="Arial"/>
                      </a:defRPr>
                    </a:pPr>
                    <a:r>
                      <a:rPr lang="es-ES" sz="1200" b="0" i="0" strike="noStrike">
                        <a:solidFill>
                          <a:srgbClr val="000000"/>
                        </a:solidFill>
                        <a:latin typeface="Arial"/>
                        <a:cs typeface="Arial"/>
                      </a:rPr>
                      <a:t>R</a:t>
                    </a:r>
                    <a:r>
                      <a:rPr lang="es-ES" sz="1200" b="0" i="0" strike="noStrike" baseline="30000">
                        <a:solidFill>
                          <a:srgbClr val="000000"/>
                        </a:solidFill>
                        <a:latin typeface="Arial"/>
                        <a:cs typeface="Arial"/>
                      </a:rPr>
                      <a:t>2</a:t>
                    </a:r>
                    <a:r>
                      <a:rPr lang="es-ES" sz="1200" b="0" i="0" strike="noStrike">
                        <a:solidFill>
                          <a:srgbClr val="000000"/>
                        </a:solidFill>
                        <a:latin typeface="Arial"/>
                        <a:cs typeface="Arial"/>
                      </a:rPr>
                      <a:t> = 0.9885</a:t>
                    </a:r>
                  </a:p>
                </c:rich>
              </c:tx>
              <c:numFmt formatCode="General" sourceLinked="0"/>
              <c:spPr>
                <a:noFill/>
                <a:ln w="25400">
                  <a:noFill/>
                </a:ln>
              </c:spPr>
            </c:trendlineLbl>
          </c:trendline>
          <c:cat>
            <c:numRef>
              <c:f>'11-PIB-Moderado Base-1982'!$A$40:$A$64</c:f>
              <c:numCache>
                <c:formatCode>General</c:formatCode>
                <c:ptCount val="2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pt idx="21">
                  <c:v>2024</c:v>
                </c:pt>
                <c:pt idx="22">
                  <c:v>2025</c:v>
                </c:pt>
                <c:pt idx="23">
                  <c:v>2026</c:v>
                </c:pt>
                <c:pt idx="24">
                  <c:v>2027</c:v>
                </c:pt>
              </c:numCache>
            </c:numRef>
          </c:cat>
          <c:val>
            <c:numRef>
              <c:f>'11-PIB-Moderado Base-1982'!$D$40:$D$63</c:f>
              <c:numCache>
                <c:formatCode>_-* #,##0.0_-;\-* #,##0.0_-;_-* "-"??_-;_-@_-</c:formatCode>
                <c:ptCount val="24"/>
                <c:pt idx="0">
                  <c:v>522.63104355451617</c:v>
                </c:pt>
                <c:pt idx="1">
                  <c:v>533.51242326805016</c:v>
                </c:pt>
                <c:pt idx="2">
                  <c:v>555.92481730488157</c:v>
                </c:pt>
                <c:pt idx="3">
                  <c:v>577.47103186202855</c:v>
                </c:pt>
                <c:pt idx="4">
                  <c:v>609.95276235018991</c:v>
                </c:pt>
                <c:pt idx="5">
                  <c:v>633.88172838351363</c:v>
                </c:pt>
                <c:pt idx="6">
                  <c:v>630.09143525285003</c:v>
                </c:pt>
                <c:pt idx="7">
                  <c:v>637.02087109032436</c:v>
                </c:pt>
                <c:pt idx="8">
                  <c:v>657.59263373282647</c:v>
                </c:pt>
                <c:pt idx="9">
                  <c:v>679.74957772108917</c:v>
                </c:pt>
                <c:pt idx="10">
                  <c:v>691.30296046169508</c:v>
                </c:pt>
                <c:pt idx="11">
                  <c:v>718.46129105126158</c:v>
                </c:pt>
                <c:pt idx="12">
                  <c:v>775.24689137490088</c:v>
                </c:pt>
                <c:pt idx="13">
                  <c:v>800.48493596318508</c:v>
                </c:pt>
                <c:pt idx="14">
                  <c:v>830.11220569725776</c:v>
                </c:pt>
                <c:pt idx="15">
                  <c:v>864.67735372034247</c:v>
                </c:pt>
                <c:pt idx="16">
                  <c:v>897.8708688853684</c:v>
                </c:pt>
                <c:pt idx="17">
                  <c:v>935.45360919618281</c:v>
                </c:pt>
                <c:pt idx="18">
                  <c:v>970.01875721926774</c:v>
                </c:pt>
                <c:pt idx="19">
                  <c:v>1003.2122723842934</c:v>
                </c:pt>
                <c:pt idx="20">
                  <c:v>1033.6625218332015</c:v>
                </c:pt>
                <c:pt idx="21">
                  <c:v>1087.4305298691111</c:v>
                </c:pt>
                <c:pt idx="22">
                  <c:v>1124.7389436083135</c:v>
                </c:pt>
                <c:pt idx="23">
                  <c:v>1166.964455800294</c:v>
                </c:pt>
              </c:numCache>
            </c:numRef>
          </c:val>
        </c:ser>
        <c:marker val="1"/>
        <c:axId val="131106688"/>
        <c:axId val="131108224"/>
      </c:lineChart>
      <c:catAx>
        <c:axId val="131106688"/>
        <c:scaling>
          <c:orientation val="minMax"/>
        </c:scaling>
        <c:axPos val="b"/>
        <c:numFmt formatCode="General" sourceLinked="1"/>
        <c:tickLblPos val="nextTo"/>
        <c:spPr>
          <a:ln w="3175">
            <a:solidFill>
              <a:srgbClr val="000000"/>
            </a:solidFill>
            <a:prstDash val="solid"/>
          </a:ln>
        </c:spPr>
        <c:txPr>
          <a:bodyPr rot="-2700000" vert="horz"/>
          <a:lstStyle/>
          <a:p>
            <a:pPr>
              <a:defRPr sz="800" b="0" i="1" u="none" strike="noStrike" baseline="0">
                <a:solidFill>
                  <a:srgbClr val="0000FF"/>
                </a:solidFill>
                <a:latin typeface="Arial"/>
                <a:ea typeface="Arial"/>
                <a:cs typeface="Arial"/>
              </a:defRPr>
            </a:pPr>
            <a:endParaRPr lang="es-ES"/>
          </a:p>
        </c:txPr>
        <c:crossAx val="131108224"/>
        <c:crosses val="autoZero"/>
        <c:auto val="1"/>
        <c:lblAlgn val="ctr"/>
        <c:lblOffset val="100"/>
        <c:tickLblSkip val="2"/>
        <c:tickMarkSkip val="1"/>
      </c:catAx>
      <c:valAx>
        <c:axId val="131108224"/>
        <c:scaling>
          <c:orientation val="minMax"/>
          <c:min val="400"/>
        </c:scaling>
        <c:axPos val="l"/>
        <c:majorGridlines>
          <c:spPr>
            <a:ln w="12700">
              <a:solidFill>
                <a:srgbClr val="FF0000"/>
              </a:solidFill>
              <a:prstDash val="solid"/>
            </a:ln>
          </c:spPr>
        </c:majorGridlines>
        <c:numFmt formatCode="#,##0" sourceLinked="0"/>
        <c:tickLblPos val="nextTo"/>
        <c:spPr>
          <a:ln w="9525">
            <a:noFill/>
          </a:ln>
        </c:spPr>
        <c:txPr>
          <a:bodyPr rot="0" vert="horz"/>
          <a:lstStyle/>
          <a:p>
            <a:pPr>
              <a:defRPr sz="800" b="0" i="1" u="none" strike="noStrike" baseline="0">
                <a:solidFill>
                  <a:srgbClr val="0000FF"/>
                </a:solidFill>
                <a:latin typeface="Arial"/>
                <a:ea typeface="Arial"/>
                <a:cs typeface="Arial"/>
              </a:defRPr>
            </a:pPr>
            <a:endParaRPr lang="es-ES"/>
          </a:p>
        </c:txPr>
        <c:crossAx val="131106688"/>
        <c:crosses val="autoZero"/>
        <c:crossBetween val="between"/>
      </c:valAx>
      <c:spPr>
        <a:gradFill>
          <a:gsLst>
            <a:gs pos="0">
              <a:srgbClr val="5E9EFF"/>
            </a:gs>
            <a:gs pos="39999">
              <a:srgbClr val="85C2FF"/>
            </a:gs>
            <a:gs pos="70000">
              <a:srgbClr val="C4D6EB"/>
            </a:gs>
            <a:gs pos="100000">
              <a:srgbClr val="FFEBFA"/>
            </a:gs>
          </a:gsLst>
          <a:lin ang="5400000" scaled="0"/>
        </a:gradFill>
        <a:ln w="25400">
          <a:noFill/>
        </a:ln>
      </c:spPr>
    </c:plotArea>
    <c:legend>
      <c:legendPos val="r"/>
      <c:layout>
        <c:manualLayout>
          <c:xMode val="edge"/>
          <c:yMode val="edge"/>
          <c:x val="0.49704245549188031"/>
          <c:y val="0.64706191137872804"/>
          <c:w val="0.49506998711397937"/>
          <c:h val="0.11764762201105819"/>
        </c:manualLayout>
      </c:layout>
      <c:spPr>
        <a:noFill/>
        <a:ln w="3175">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es-ES"/>
        </a:p>
      </c:txPr>
    </c:legend>
    <c:plotVisOnly val="1"/>
    <c:dispBlanksAs val="gap"/>
  </c:chart>
  <c:spPr>
    <a:solidFill>
      <a:srgbClr val="CCFFFF"/>
    </a:solidFill>
    <a:ln w="9525">
      <a:noFill/>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000000000000722" r="0.75000000000000722" t="1" header="0" footer="0"/>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200" b="1" i="0" u="none" strike="noStrike" baseline="0">
                <a:solidFill>
                  <a:srgbClr val="008000"/>
                </a:solidFill>
                <a:latin typeface="Arial"/>
                <a:ea typeface="Arial"/>
                <a:cs typeface="Arial"/>
              </a:defRPr>
            </a:pPr>
            <a:r>
              <a:rPr lang="es-ES"/>
              <a:t>PIB (Millones de Balboas a precios de 1982)
DATOS  HISTORICOS</a:t>
            </a:r>
          </a:p>
        </c:rich>
      </c:tx>
      <c:layout>
        <c:manualLayout>
          <c:xMode val="edge"/>
          <c:yMode val="edge"/>
          <c:x val="0.12475838215020821"/>
          <c:y val="4.4002985865299132E-2"/>
        </c:manualLayout>
      </c:layout>
      <c:spPr>
        <a:noFill/>
        <a:ln w="25400">
          <a:noFill/>
        </a:ln>
      </c:spPr>
    </c:title>
    <c:plotArea>
      <c:layout>
        <c:manualLayout>
          <c:layoutTarget val="inner"/>
          <c:xMode val="edge"/>
          <c:yMode val="edge"/>
          <c:x val="0.20857346076015321"/>
          <c:y val="0.22616533025114979"/>
          <c:w val="0.71999779607701764"/>
          <c:h val="0.47177971983487804"/>
        </c:manualLayout>
      </c:layout>
      <c:lineChart>
        <c:grouping val="standard"/>
        <c:ser>
          <c:idx val="1"/>
          <c:order val="0"/>
          <c:tx>
            <c:strRef>
              <c:f>'11-PIB-Moderado Base-1982'!$B$6</c:f>
              <c:strCache>
                <c:ptCount val="1"/>
                <c:pt idx="0">
                  <c:v>PIB REAL</c:v>
                </c:pt>
              </c:strCache>
            </c:strRef>
          </c:tx>
          <c:spPr>
            <a:ln w="38100">
              <a:solidFill>
                <a:srgbClr val="FF0000"/>
              </a:solidFill>
              <a:prstDash val="solid"/>
            </a:ln>
          </c:spPr>
          <c:marker>
            <c:symbol val="none"/>
          </c:marker>
          <c:trendline>
            <c:spPr>
              <a:ln w="38100">
                <a:solidFill>
                  <a:srgbClr val="000000"/>
                </a:solidFill>
                <a:prstDash val="solid"/>
              </a:ln>
            </c:spPr>
            <c:trendlineType val="poly"/>
            <c:order val="2"/>
            <c:dispRSqr val="1"/>
            <c:trendlineLbl>
              <c:layout>
                <c:manualLayout>
                  <c:x val="-6.8043591580225563E-2"/>
                  <c:y val="-4.7086681664167032E-2"/>
                </c:manualLayout>
              </c:layout>
              <c:tx>
                <c:rich>
                  <a:bodyPr/>
                  <a:lstStyle/>
                  <a:p>
                    <a:pPr>
                      <a:defRPr sz="825" b="1" i="0" u="none" strike="noStrike" baseline="0">
                        <a:solidFill>
                          <a:srgbClr val="008000"/>
                        </a:solidFill>
                        <a:latin typeface="Arial"/>
                        <a:ea typeface="Arial"/>
                        <a:cs typeface="Arial"/>
                      </a:defRPr>
                    </a:pPr>
                    <a:r>
                      <a:rPr lang="es-ES" sz="825" b="1" i="0" strike="noStrike">
                        <a:solidFill>
                          <a:srgbClr val="008000"/>
                        </a:solidFill>
                        <a:latin typeface="Arial"/>
                        <a:cs typeface="Arial"/>
                      </a:rPr>
                      <a:t>R</a:t>
                    </a:r>
                    <a:r>
                      <a:rPr lang="es-ES" sz="825" b="1" i="0" strike="noStrike" baseline="30000">
                        <a:solidFill>
                          <a:srgbClr val="008000"/>
                        </a:solidFill>
                        <a:latin typeface="Arial"/>
                        <a:cs typeface="Arial"/>
                      </a:rPr>
                      <a:t>2</a:t>
                    </a:r>
                    <a:r>
                      <a:rPr lang="es-ES" sz="825" b="1" i="0" strike="noStrike">
                        <a:solidFill>
                          <a:srgbClr val="008000"/>
                        </a:solidFill>
                        <a:latin typeface="Arial"/>
                        <a:cs typeface="Arial"/>
                      </a:rPr>
                      <a:t> = 0.8735</a:t>
                    </a:r>
                  </a:p>
                </c:rich>
              </c:tx>
              <c:numFmt formatCode="General" sourceLinked="0"/>
              <c:spPr>
                <a:noFill/>
                <a:ln w="25400">
                  <a:noFill/>
                </a:ln>
              </c:spPr>
            </c:trendlineLbl>
          </c:trendline>
          <c:cat>
            <c:numRef>
              <c:f>'11-PIB-Moderado Base-1982'!$A$7:$A$49</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'11-PIB-Moderado Base-1982'!$B$7:$B$49</c:f>
              <c:numCache>
                <c:formatCode>_-* #,##0_-;\-* #,##0_-;_-* "-"??_-;_-@_-</c:formatCode>
                <c:ptCount val="43"/>
                <c:pt idx="0">
                  <c:v>2351.4156921131657</c:v>
                </c:pt>
                <c:pt idx="1">
                  <c:v>2577.6500691901069</c:v>
                </c:pt>
                <c:pt idx="2">
                  <c:v>2689.0848543566476</c:v>
                </c:pt>
                <c:pt idx="3">
                  <c:v>2823.437834166356</c:v>
                </c:pt>
                <c:pt idx="4">
                  <c:v>2903.6383679935257</c:v>
                </c:pt>
                <c:pt idx="5">
                  <c:v>2910.1245026717997</c:v>
                </c:pt>
                <c:pt idx="6">
                  <c:v>2949.1723957981726</c:v>
                </c:pt>
                <c:pt idx="7">
                  <c:v>2985.6550172110965</c:v>
                </c:pt>
                <c:pt idx="8">
                  <c:v>3300.2084216849612</c:v>
                </c:pt>
                <c:pt idx="9">
                  <c:v>3453.0450719817218</c:v>
                </c:pt>
                <c:pt idx="10">
                  <c:v>4141.5</c:v>
                </c:pt>
                <c:pt idx="11">
                  <c:v>4522.8</c:v>
                </c:pt>
                <c:pt idx="12">
                  <c:v>4764.7</c:v>
                </c:pt>
                <c:pt idx="13">
                  <c:v>4550.7000000000007</c:v>
                </c:pt>
                <c:pt idx="14">
                  <c:v>4674.0000000000009</c:v>
                </c:pt>
                <c:pt idx="15">
                  <c:v>4905.0000000000009</c:v>
                </c:pt>
                <c:pt idx="16">
                  <c:v>5080.0000000000009</c:v>
                </c:pt>
                <c:pt idx="17">
                  <c:v>4988.1000000000004</c:v>
                </c:pt>
                <c:pt idx="18">
                  <c:v>4320.7</c:v>
                </c:pt>
                <c:pt idx="19">
                  <c:v>4388.2000000000007</c:v>
                </c:pt>
                <c:pt idx="20">
                  <c:v>4743.6000000000013</c:v>
                </c:pt>
                <c:pt idx="21">
                  <c:v>5190.4000000000005</c:v>
                </c:pt>
                <c:pt idx="22">
                  <c:v>5616.1</c:v>
                </c:pt>
                <c:pt idx="23">
                  <c:v>5922.5</c:v>
                </c:pt>
                <c:pt idx="24">
                  <c:v>6091.3</c:v>
                </c:pt>
                <c:pt idx="25">
                  <c:v>6198</c:v>
                </c:pt>
                <c:pt idx="26">
                  <c:v>6372.2000000000007</c:v>
                </c:pt>
                <c:pt idx="27">
                  <c:v>6807.2766047027162</c:v>
                </c:pt>
                <c:pt idx="28">
                  <c:v>6947.1999999999989</c:v>
                </c:pt>
                <c:pt idx="29">
                  <c:v>7169.9000000000005</c:v>
                </c:pt>
                <c:pt idx="30">
                  <c:v>7345.6999999999989</c:v>
                </c:pt>
                <c:pt idx="31">
                  <c:v>7372.61010719755</c:v>
                </c:pt>
                <c:pt idx="32">
                  <c:v>7682.2686741081388</c:v>
                </c:pt>
                <c:pt idx="33">
                  <c:v>7881.9392110616636</c:v>
                </c:pt>
                <c:pt idx="34">
                  <c:v>8373.9903204816346</c:v>
                </c:pt>
                <c:pt idx="35">
                  <c:v>9081.422412048847</c:v>
                </c:pt>
                <c:pt idx="36">
                  <c:v>9788.3682028639505</c:v>
                </c:pt>
                <c:pt idx="37">
                  <c:v>11002.804099426618</c:v>
                </c:pt>
                <c:pt idx="38">
                  <c:v>12132.014935933918</c:v>
                </c:pt>
                <c:pt idx="39">
                  <c:v>12529.358670555303</c:v>
                </c:pt>
                <c:pt idx="40">
                  <c:v>13523.004739279306</c:v>
                </c:pt>
                <c:pt idx="41">
                  <c:v>15092.879271304215</c:v>
                </c:pt>
                <c:pt idx="42">
                  <c:v>16502.240181051773</c:v>
                </c:pt>
              </c:numCache>
            </c:numRef>
          </c:val>
        </c:ser>
        <c:marker val="1"/>
        <c:axId val="131170688"/>
        <c:axId val="131172224"/>
      </c:lineChart>
      <c:catAx>
        <c:axId val="131170688"/>
        <c:scaling>
          <c:orientation val="minMax"/>
        </c:scaling>
        <c:axPos val="b"/>
        <c:numFmt formatCode="General" sourceLinked="1"/>
        <c:tickLblPos val="nextTo"/>
        <c:spPr>
          <a:ln w="3175">
            <a:solidFill>
              <a:srgbClr val="000000"/>
            </a:solidFill>
            <a:prstDash val="solid"/>
          </a:ln>
        </c:spPr>
        <c:txPr>
          <a:bodyPr rot="-2580000" vert="horz"/>
          <a:lstStyle/>
          <a:p>
            <a:pPr>
              <a:defRPr sz="800" b="1" i="0" u="none" strike="noStrike" baseline="0">
                <a:solidFill>
                  <a:srgbClr val="008000"/>
                </a:solidFill>
                <a:latin typeface="Arial"/>
                <a:ea typeface="Arial"/>
                <a:cs typeface="Arial"/>
              </a:defRPr>
            </a:pPr>
            <a:endParaRPr lang="es-ES"/>
          </a:p>
        </c:txPr>
        <c:crossAx val="131172224"/>
        <c:crosses val="autoZero"/>
        <c:auto val="1"/>
        <c:lblAlgn val="ctr"/>
        <c:lblOffset val="100"/>
        <c:tickLblSkip val="3"/>
        <c:tickMarkSkip val="1"/>
      </c:catAx>
      <c:valAx>
        <c:axId val="131172224"/>
        <c:scaling>
          <c:orientation val="minMax"/>
          <c:max val="20000"/>
        </c:scaling>
        <c:axPos val="l"/>
        <c:majorGridlines>
          <c:spPr>
            <a:ln w="12700">
              <a:solidFill>
                <a:srgbClr val="FF9900"/>
              </a:solidFill>
              <a:prstDash val="solid"/>
            </a:ln>
          </c:spPr>
        </c:majorGridlines>
        <c:numFmt formatCode="0" sourceLinked="0"/>
        <c:majorTickMark val="in"/>
        <c:minorTickMark val="in"/>
        <c:tickLblPos val="low"/>
        <c:spPr>
          <a:ln w="3175">
            <a:solidFill>
              <a:srgbClr val="000000"/>
            </a:solidFill>
            <a:prstDash val="solid"/>
          </a:ln>
        </c:spPr>
        <c:txPr>
          <a:bodyPr rot="0" vert="horz"/>
          <a:lstStyle/>
          <a:p>
            <a:pPr>
              <a:defRPr sz="1000" b="1" i="0" u="none" strike="noStrike" baseline="0">
                <a:solidFill>
                  <a:srgbClr val="008000"/>
                </a:solidFill>
                <a:latin typeface="Arial"/>
                <a:ea typeface="Arial"/>
                <a:cs typeface="Arial"/>
              </a:defRPr>
            </a:pPr>
            <a:endParaRPr lang="es-ES"/>
          </a:p>
        </c:txPr>
        <c:crossAx val="131170688"/>
        <c:crosses val="autoZero"/>
        <c:crossBetween val="between"/>
        <c:majorUnit val="5000"/>
        <c:minorUnit val="1000"/>
      </c:valAx>
      <c:spPr>
        <a:gradFill rotWithShape="0">
          <a:gsLst>
            <a:gs pos="0">
              <a:srgbClr val="CCFFCC"/>
            </a:gs>
            <a:gs pos="100000">
              <a:srgbClr val="CCFFFF"/>
            </a:gs>
          </a:gsLst>
          <a:lin ang="5400000" scaled="1"/>
        </a:gradFill>
        <a:ln w="12700">
          <a:solidFill>
            <a:srgbClr val="008000"/>
          </a:solidFill>
          <a:prstDash val="solid"/>
        </a:ln>
      </c:spPr>
    </c:plotArea>
    <c:legend>
      <c:legendPos val="r"/>
      <c:legendEntry>
        <c:idx val="0"/>
        <c:txPr>
          <a:bodyPr/>
          <a:lstStyle/>
          <a:p>
            <a:pPr>
              <a:defRPr sz="735" b="1" i="0" u="none" strike="noStrike" baseline="0">
                <a:solidFill>
                  <a:srgbClr val="008000"/>
                </a:solidFill>
                <a:latin typeface="Arial"/>
                <a:ea typeface="Arial"/>
                <a:cs typeface="Arial"/>
              </a:defRPr>
            </a:pPr>
            <a:endParaRPr lang="es-ES"/>
          </a:p>
        </c:txPr>
      </c:legendEntry>
      <c:legendEntry>
        <c:idx val="1"/>
        <c:txPr>
          <a:bodyPr/>
          <a:lstStyle/>
          <a:p>
            <a:pPr>
              <a:defRPr sz="735" b="1" i="0" u="none" strike="noStrike" baseline="0">
                <a:solidFill>
                  <a:srgbClr val="008000"/>
                </a:solidFill>
                <a:latin typeface="Arial"/>
                <a:ea typeface="Arial"/>
                <a:cs typeface="Arial"/>
              </a:defRPr>
            </a:pPr>
            <a:endParaRPr lang="es-ES"/>
          </a:p>
        </c:txPr>
      </c:legendEntry>
      <c:layout>
        <c:manualLayout>
          <c:xMode val="edge"/>
          <c:yMode val="edge"/>
          <c:x val="0.31890444992086098"/>
          <c:y val="0.88604418553414555"/>
          <c:w val="0.38921282798834411"/>
          <c:h val="0.10370407879079424"/>
        </c:manualLayout>
      </c:layout>
      <c:spPr>
        <a:gradFill rotWithShape="0">
          <a:gsLst>
            <a:gs pos="0">
              <a:srgbClr val="CCFFCC"/>
            </a:gs>
            <a:gs pos="100000">
              <a:srgbClr val="CCFFCC"/>
            </a:gs>
          </a:gsLst>
          <a:lin ang="5400000" scaled="1"/>
        </a:gradFill>
        <a:ln w="25400">
          <a:noFill/>
        </a:ln>
      </c:spPr>
      <c:txPr>
        <a:bodyPr/>
        <a:lstStyle/>
        <a:p>
          <a:pPr>
            <a:defRPr sz="735" b="0" i="0" u="none" strike="noStrike" baseline="0">
              <a:solidFill>
                <a:srgbClr val="008000"/>
              </a:solidFill>
              <a:latin typeface="Arial"/>
              <a:ea typeface="Arial"/>
              <a:cs typeface="Arial"/>
            </a:defRPr>
          </a:pPr>
          <a:endParaRPr lang="es-ES"/>
        </a:p>
      </c:txPr>
    </c:legend>
    <c:plotVisOnly val="1"/>
    <c:dispBlanksAs val="gap"/>
  </c:chart>
  <c:spPr>
    <a:solidFill>
      <a:srgbClr val="CCFFCC"/>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000000000000722" r="0.75000000000000722" t="1" header="0" footer="0"/>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200" b="1" i="0" u="none" strike="noStrike" baseline="0">
                <a:solidFill>
                  <a:srgbClr val="000000"/>
                </a:solidFill>
                <a:latin typeface="Arial"/>
                <a:ea typeface="Arial"/>
                <a:cs typeface="Arial"/>
              </a:defRPr>
            </a:pPr>
            <a:r>
              <a:rPr lang="es-ES"/>
              <a:t>TASAS DE CRECIMIENTO DEL PIB</a:t>
            </a:r>
          </a:p>
        </c:rich>
      </c:tx>
      <c:layout>
        <c:manualLayout>
          <c:xMode val="edge"/>
          <c:yMode val="edge"/>
          <c:x val="0.24431863369775741"/>
          <c:y val="7.6655052264808357E-2"/>
        </c:manualLayout>
      </c:layout>
      <c:spPr>
        <a:noFill/>
        <a:ln w="25400">
          <a:noFill/>
        </a:ln>
      </c:spPr>
    </c:title>
    <c:plotArea>
      <c:layout>
        <c:manualLayout>
          <c:layoutTarget val="inner"/>
          <c:xMode val="edge"/>
          <c:yMode val="edge"/>
          <c:x val="0.12329953074047593"/>
          <c:y val="4.3287953491794776E-2"/>
          <c:w val="0.86363796097811862"/>
          <c:h val="0.88850174216027877"/>
        </c:manualLayout>
      </c:layout>
      <c:lineChart>
        <c:grouping val="standard"/>
        <c:ser>
          <c:idx val="0"/>
          <c:order val="0"/>
          <c:tx>
            <c:strRef>
              <c:f>'12-PIB-Optimista Base-1982'!$B$6</c:f>
              <c:strCache>
                <c:ptCount val="1"/>
                <c:pt idx="0">
                  <c:v>PIB REAL</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Pt>
            <c:idx val="36"/>
            <c:spPr>
              <a:ln w="12700">
                <a:solidFill>
                  <a:srgbClr val="00FF00"/>
                </a:solidFill>
                <a:prstDash val="solid"/>
              </a:ln>
            </c:spPr>
          </c:dPt>
          <c:dPt>
            <c:idx val="37"/>
            <c:spPr>
              <a:ln w="12700">
                <a:solidFill>
                  <a:srgbClr val="00FF00"/>
                </a:solidFill>
                <a:prstDash val="solid"/>
              </a:ln>
            </c:spPr>
          </c:dPt>
          <c:dPt>
            <c:idx val="39"/>
            <c:spPr>
              <a:ln w="12700">
                <a:solidFill>
                  <a:srgbClr val="00FF00"/>
                </a:solidFill>
                <a:prstDash val="solid"/>
              </a:ln>
            </c:spPr>
          </c:dPt>
          <c:dPt>
            <c:idx val="41"/>
            <c:spPr>
              <a:ln w="12700">
                <a:solidFill>
                  <a:srgbClr val="00FF00"/>
                </a:solidFill>
                <a:prstDash val="solid"/>
              </a:ln>
            </c:spPr>
          </c:dPt>
          <c:dPt>
            <c:idx val="42"/>
            <c:spPr>
              <a:ln w="12700">
                <a:solidFill>
                  <a:srgbClr val="00FF00"/>
                </a:solidFill>
                <a:prstDash val="solid"/>
              </a:ln>
            </c:spPr>
          </c:dPt>
          <c:dPt>
            <c:idx val="43"/>
            <c:spPr>
              <a:ln w="12700">
                <a:solidFill>
                  <a:srgbClr val="00FF00"/>
                </a:solidFill>
                <a:prstDash val="solid"/>
              </a:ln>
            </c:spPr>
          </c:dPt>
          <c:dPt>
            <c:idx val="44"/>
            <c:spPr>
              <a:ln w="12700">
                <a:solidFill>
                  <a:srgbClr val="00FF00"/>
                </a:solidFill>
                <a:prstDash val="solid"/>
              </a:ln>
            </c:spPr>
          </c:dPt>
          <c:dPt>
            <c:idx val="45"/>
            <c:spPr>
              <a:ln w="12700">
                <a:solidFill>
                  <a:srgbClr val="00FF00"/>
                </a:solidFill>
                <a:prstDash val="solid"/>
              </a:ln>
            </c:spPr>
          </c:dPt>
          <c:dPt>
            <c:idx val="46"/>
            <c:spPr>
              <a:ln w="12700">
                <a:solidFill>
                  <a:srgbClr val="00FF00"/>
                </a:solidFill>
                <a:prstDash val="solid"/>
              </a:ln>
            </c:spPr>
          </c:dPt>
          <c:dPt>
            <c:idx val="47"/>
            <c:spPr>
              <a:ln w="12700">
                <a:solidFill>
                  <a:srgbClr val="00FF00"/>
                </a:solidFill>
                <a:prstDash val="solid"/>
              </a:ln>
            </c:spPr>
          </c:dPt>
          <c:dPt>
            <c:idx val="48"/>
            <c:spPr>
              <a:ln w="12700">
                <a:solidFill>
                  <a:srgbClr val="00FF00"/>
                </a:solidFill>
                <a:prstDash val="solid"/>
              </a:ln>
            </c:spPr>
          </c:dPt>
          <c:dPt>
            <c:idx val="49"/>
            <c:spPr>
              <a:ln w="12700">
                <a:solidFill>
                  <a:srgbClr val="00FF00"/>
                </a:solidFill>
                <a:prstDash val="solid"/>
              </a:ln>
            </c:spPr>
          </c:dPt>
          <c:dPt>
            <c:idx val="50"/>
            <c:spPr>
              <a:ln w="12700">
                <a:solidFill>
                  <a:srgbClr val="00FF00"/>
                </a:solidFill>
                <a:prstDash val="solid"/>
              </a:ln>
            </c:spPr>
          </c:dPt>
          <c:cat>
            <c:numRef>
              <c:f>'12-PIB-Optimista Base-1982'!$A$8:$A$64</c:f>
              <c:numCache>
                <c:formatCode>General</c:formatCode>
                <c:ptCount val="5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pt idx="51">
                  <c:v>2022</c:v>
                </c:pt>
                <c:pt idx="52">
                  <c:v>2023</c:v>
                </c:pt>
                <c:pt idx="53">
                  <c:v>2024</c:v>
                </c:pt>
                <c:pt idx="54">
                  <c:v>2025</c:v>
                </c:pt>
                <c:pt idx="55">
                  <c:v>2026</c:v>
                </c:pt>
                <c:pt idx="56">
                  <c:v>2027</c:v>
                </c:pt>
              </c:numCache>
            </c:numRef>
          </c:cat>
          <c:val>
            <c:numRef>
              <c:f>'12-PIB-Optimista Base-1982'!$C$8:$C$64</c:f>
              <c:numCache>
                <c:formatCode>0.0%</c:formatCode>
                <c:ptCount val="57"/>
                <c:pt idx="0">
                  <c:v>9.6211987457491752E-2</c:v>
                </c:pt>
                <c:pt idx="1">
                  <c:v>4.3231153250197878E-2</c:v>
                </c:pt>
                <c:pt idx="2">
                  <c:v>4.9962342985212994E-2</c:v>
                </c:pt>
                <c:pt idx="3">
                  <c:v>2.8405277019619448E-2</c:v>
                </c:pt>
                <c:pt idx="4">
                  <c:v>2.2337956233703226E-3</c:v>
                </c:pt>
                <c:pt idx="5">
                  <c:v>1.3417945895621576E-2</c:v>
                </c:pt>
                <c:pt idx="6">
                  <c:v>1.2370460765502359E-2</c:v>
                </c:pt>
                <c:pt idx="7">
                  <c:v>0.10535490626364775</c:v>
                </c:pt>
                <c:pt idx="8">
                  <c:v>4.6311211526067188E-2</c:v>
                </c:pt>
                <c:pt idx="9">
                  <c:v>0.19937617774075858</c:v>
                </c:pt>
                <c:pt idx="10">
                  <c:v>9.206809127127856E-2</c:v>
                </c:pt>
                <c:pt idx="11">
                  <c:v>5.3484567082338293E-2</c:v>
                </c:pt>
                <c:pt idx="12">
                  <c:v>-4.4913635695846346E-2</c:v>
                </c:pt>
                <c:pt idx="13">
                  <c:v>2.709473267848906E-2</c:v>
                </c:pt>
                <c:pt idx="14">
                  <c:v>4.9422336328626436E-2</c:v>
                </c:pt>
                <c:pt idx="15">
                  <c:v>3.5677879714576956E-2</c:v>
                </c:pt>
                <c:pt idx="16">
                  <c:v>-1.8090551181102466E-2</c:v>
                </c:pt>
                <c:pt idx="17">
                  <c:v>-0.13379844028788526</c:v>
                </c:pt>
                <c:pt idx="18">
                  <c:v>1.5622468581480064E-2</c:v>
                </c:pt>
                <c:pt idx="19">
                  <c:v>8.0989927532929329E-2</c:v>
                </c:pt>
                <c:pt idx="20">
                  <c:v>9.4190066616072002E-2</c:v>
                </c:pt>
                <c:pt idx="21">
                  <c:v>8.2016800246609081E-2</c:v>
                </c:pt>
                <c:pt idx="22">
                  <c:v>5.455743309413999E-2</c:v>
                </c:pt>
                <c:pt idx="23">
                  <c:v>2.8501477416631522E-2</c:v>
                </c:pt>
                <c:pt idx="24">
                  <c:v>1.7516786236107206E-2</c:v>
                </c:pt>
                <c:pt idx="25">
                  <c:v>2.8105840593740033E-2</c:v>
                </c:pt>
                <c:pt idx="26">
                  <c:v>6.8277299002340711E-2</c:v>
                </c:pt>
                <c:pt idx="27">
                  <c:v>2.0554974246326126E-2</c:v>
                </c:pt>
                <c:pt idx="28">
                  <c:v>3.2056080147397754E-2</c:v>
                </c:pt>
                <c:pt idx="29">
                  <c:v>2.4519170420786669E-2</c:v>
                </c:pt>
                <c:pt idx="30">
                  <c:v>3.6633822777340547E-3</c:v>
                </c:pt>
                <c:pt idx="31">
                  <c:v>4.2001212922989521E-2</c:v>
                </c:pt>
                <c:pt idx="32">
                  <c:v>2.5991090057352784E-2</c:v>
                </c:pt>
                <c:pt idx="33">
                  <c:v>6.242767119155361E-2</c:v>
                </c:pt>
                <c:pt idx="34">
                  <c:v>8.4479688236196102E-2</c:v>
                </c:pt>
                <c:pt idx="35">
                  <c:v>7.784527122944504E-2</c:v>
                </c:pt>
                <c:pt idx="36">
                  <c:v>0.12406929034477256</c:v>
                </c:pt>
                <c:pt idx="37">
                  <c:v>0.10262936850490194</c:v>
                </c:pt>
                <c:pt idx="38">
                  <c:v>3.2751668763981591E-2</c:v>
                </c:pt>
                <c:pt idx="39">
                  <c:v>7.9305421358806444E-2</c:v>
                </c:pt>
                <c:pt idx="40">
                  <c:v>0.11608918005219702</c:v>
                </c:pt>
                <c:pt idx="41">
                  <c:v>9.3379194546871352E-2</c:v>
                </c:pt>
                <c:pt idx="42">
                  <c:v>0.10754216714063025</c:v>
                </c:pt>
                <c:pt idx="43">
                  <c:v>7.4999999999999872E-2</c:v>
                </c:pt>
                <c:pt idx="44">
                  <c:v>7.4999999999999997E-2</c:v>
                </c:pt>
                <c:pt idx="45">
                  <c:v>7.4999999999999914E-2</c:v>
                </c:pt>
                <c:pt idx="46">
                  <c:v>6.4999999999999919E-2</c:v>
                </c:pt>
                <c:pt idx="47">
                  <c:v>6.5000000000000002E-2</c:v>
                </c:pt>
                <c:pt idx="48">
                  <c:v>6.5000000000000002E-2</c:v>
                </c:pt>
                <c:pt idx="49">
                  <c:v>6.4999999999999919E-2</c:v>
                </c:pt>
                <c:pt idx="50">
                  <c:v>6.4999999999999905E-2</c:v>
                </c:pt>
                <c:pt idx="51">
                  <c:v>6.000000000000006E-2</c:v>
                </c:pt>
                <c:pt idx="52">
                  <c:v>6.0000000000000116E-2</c:v>
                </c:pt>
                <c:pt idx="53">
                  <c:v>6.0000000000000032E-2</c:v>
                </c:pt>
                <c:pt idx="54">
                  <c:v>6.0000000000000032E-2</c:v>
                </c:pt>
                <c:pt idx="55">
                  <c:v>6.000000000000006E-2</c:v>
                </c:pt>
                <c:pt idx="56">
                  <c:v>6.0000000000000088E-2</c:v>
                </c:pt>
              </c:numCache>
            </c:numRef>
          </c:val>
        </c:ser>
        <c:ser>
          <c:idx val="1"/>
          <c:order val="1"/>
          <c:tx>
            <c:strRef>
              <c:f>'12-PIB-Optimista Base-1982'!$D$6</c:f>
              <c:strCache>
                <c:ptCount val="1"/>
                <c:pt idx="0">
                  <c:v>PIB IND</c:v>
                </c:pt>
              </c:strCache>
            </c:strRef>
          </c:tx>
          <c:spPr>
            <a:ln w="12700">
              <a:solidFill>
                <a:srgbClr val="FF0000"/>
              </a:solidFill>
              <a:prstDash val="solid"/>
            </a:ln>
          </c:spPr>
          <c:marker>
            <c:symbol val="none"/>
          </c:marker>
          <c:cat>
            <c:numRef>
              <c:f>'12-PIB-Optimista Base-1982'!$A$8:$A$64</c:f>
              <c:numCache>
                <c:formatCode>General</c:formatCode>
                <c:ptCount val="5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pt idx="51">
                  <c:v>2022</c:v>
                </c:pt>
                <c:pt idx="52">
                  <c:v>2023</c:v>
                </c:pt>
                <c:pt idx="53">
                  <c:v>2024</c:v>
                </c:pt>
                <c:pt idx="54">
                  <c:v>2025</c:v>
                </c:pt>
                <c:pt idx="55">
                  <c:v>2026</c:v>
                </c:pt>
                <c:pt idx="56">
                  <c:v>2027</c:v>
                </c:pt>
              </c:numCache>
            </c:numRef>
          </c:cat>
          <c:val>
            <c:numRef>
              <c:f>'12-PIB-Optimista Base-1982'!$E$8:$E$64</c:f>
              <c:numCache>
                <c:formatCode>0.0%</c:formatCode>
                <c:ptCount val="57"/>
                <c:pt idx="0">
                  <c:v>6.3629222309505198E-2</c:v>
                </c:pt>
                <c:pt idx="1">
                  <c:v>4.5790251107828535E-2</c:v>
                </c:pt>
                <c:pt idx="2">
                  <c:v>6.28531073446328E-2</c:v>
                </c:pt>
                <c:pt idx="3">
                  <c:v>1.3289036544850611E-2</c:v>
                </c:pt>
                <c:pt idx="4">
                  <c:v>-3.6065573770491834E-2</c:v>
                </c:pt>
                <c:pt idx="5">
                  <c:v>2.5170068027210831E-2</c:v>
                </c:pt>
                <c:pt idx="6">
                  <c:v>1.194426011944253E-2</c:v>
                </c:pt>
                <c:pt idx="7">
                  <c:v>1.5737704918032797E-2</c:v>
                </c:pt>
                <c:pt idx="8">
                  <c:v>0.11039380245319565</c:v>
                </c:pt>
                <c:pt idx="9">
                  <c:v>4.0697674418604793E-2</c:v>
                </c:pt>
                <c:pt idx="10">
                  <c:v>-2.5413849382140308E-2</c:v>
                </c:pt>
                <c:pt idx="11">
                  <c:v>3.5885167464114832E-2</c:v>
                </c:pt>
                <c:pt idx="12">
                  <c:v>-2.1478060046189403E-2</c:v>
                </c:pt>
                <c:pt idx="13">
                  <c:v>6.8444654236488087E-2</c:v>
                </c:pt>
                <c:pt idx="14">
                  <c:v>5.6107797658493559E-2</c:v>
                </c:pt>
                <c:pt idx="15">
                  <c:v>6.9023216900229124E-3</c:v>
                </c:pt>
                <c:pt idx="16">
                  <c:v>6.8757789779808939E-2</c:v>
                </c:pt>
                <c:pt idx="17">
                  <c:v>-0.22468415937803699</c:v>
                </c:pt>
                <c:pt idx="18">
                  <c:v>1.3035848583605028E-2</c:v>
                </c:pt>
                <c:pt idx="19">
                  <c:v>0.13783716901756987</c:v>
                </c:pt>
                <c:pt idx="20">
                  <c:v>0.10461070030448014</c:v>
                </c:pt>
                <c:pt idx="21">
                  <c:v>9.1553455404607215E-2</c:v>
                </c:pt>
                <c:pt idx="22">
                  <c:v>6.3311688311688361E-2</c:v>
                </c:pt>
                <c:pt idx="23">
                  <c:v>4.2578456318914375E-2</c:v>
                </c:pt>
                <c:pt idx="24">
                  <c:v>1.9524894240155089E-3</c:v>
                </c:pt>
                <c:pt idx="25">
                  <c:v>-1.2504059759662118E-2</c:v>
                </c:pt>
                <c:pt idx="26">
                  <c:v>3.2558560188116224E-2</c:v>
                </c:pt>
                <c:pt idx="27">
                  <c:v>7.0395317357163117E-2</c:v>
                </c:pt>
                <c:pt idx="28">
                  <c:v>-7.4542478797797976E-2</c:v>
                </c:pt>
                <c:pt idx="29">
                  <c:v>-5.2733118971061019E-2</c:v>
                </c:pt>
                <c:pt idx="30">
                  <c:v>-5.7026476578411436E-2</c:v>
                </c:pt>
                <c:pt idx="31">
                  <c:v>-2.6210659651174181E-2</c:v>
                </c:pt>
                <c:pt idx="32">
                  <c:v>-3.4020412247348489E-2</c:v>
                </c:pt>
                <c:pt idx="33">
                  <c:v>2.0820385332504538E-2</c:v>
                </c:pt>
                <c:pt idx="34">
                  <c:v>4.200913242009148E-2</c:v>
                </c:pt>
                <c:pt idx="35">
                  <c:v>3.8757425260492653E-2</c:v>
                </c:pt>
                <c:pt idx="36">
                  <c:v>5.6248242242429941E-2</c:v>
                </c:pt>
                <c:pt idx="37" formatCode="0.00%">
                  <c:v>3.9230851158249973E-2</c:v>
                </c:pt>
                <c:pt idx="38" formatCode="0.00%">
                  <c:v>-5.9794957969988701E-3</c:v>
                </c:pt>
                <c:pt idx="39" formatCode="0.00%">
                  <c:v>1.0997508377008186E-2</c:v>
                </c:pt>
                <c:pt idx="40" formatCode="0.00%">
                  <c:v>3.2293702727967923E-2</c:v>
                </c:pt>
                <c:pt idx="41" formatCode="0.00%">
                  <c:v>3.3694027049069486E-2</c:v>
                </c:pt>
                <c:pt idx="42" formatCode="0.00%">
                  <c:v>3.2293702727967943E-2</c:v>
                </c:pt>
                <c:pt idx="43" formatCode="0.00%">
                  <c:v>4.7600913937547444E-2</c:v>
                </c:pt>
                <c:pt idx="44" formatCode="0.00%">
                  <c:v>9.4874591057797081E-2</c:v>
                </c:pt>
                <c:pt idx="45" formatCode="0.00%">
                  <c:v>4.8140770252324015E-2</c:v>
                </c:pt>
                <c:pt idx="46" formatCode="0.00%">
                  <c:v>4.5929680076021655E-2</c:v>
                </c:pt>
                <c:pt idx="47" formatCode="0.00%">
                  <c:v>5.0575408843125433E-2</c:v>
                </c:pt>
                <c:pt idx="48" formatCode="0.00%">
                  <c:v>4.8140674545978715E-2</c:v>
                </c:pt>
                <c:pt idx="49" formatCode="0.00%">
                  <c:v>4.9779977997799603E-2</c:v>
                </c:pt>
                <c:pt idx="50" formatCode="0.00%">
                  <c:v>4.5847524233691372E-2</c:v>
                </c:pt>
                <c:pt idx="51" formatCode="0.00%">
                  <c:v>4.8597194388777742E-2</c:v>
                </c:pt>
                <c:pt idx="52" formatCode="0.00%">
                  <c:v>4.7061634018155808E-2</c:v>
                </c:pt>
                <c:pt idx="53" formatCode="0.00%">
                  <c:v>5.5441478439425006E-2</c:v>
                </c:pt>
                <c:pt idx="54" formatCode="0.00%">
                  <c:v>4.34500648508429E-2</c:v>
                </c:pt>
                <c:pt idx="55" formatCode="0.00%">
                  <c:v>4.8071780695198386E-2</c:v>
                </c:pt>
                <c:pt idx="56" formatCode="0.00%">
                  <c:v>4.8071780695198511E-2</c:v>
                </c:pt>
              </c:numCache>
            </c:numRef>
          </c:val>
        </c:ser>
        <c:marker val="1"/>
        <c:axId val="131322624"/>
        <c:axId val="131324160"/>
      </c:lineChart>
      <c:catAx>
        <c:axId val="131322624"/>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s-ES"/>
          </a:p>
        </c:txPr>
        <c:crossAx val="131324160"/>
        <c:crosses val="autoZero"/>
        <c:auto val="1"/>
        <c:lblAlgn val="ctr"/>
        <c:lblOffset val="100"/>
        <c:tickLblSkip val="3"/>
        <c:tickMarkSkip val="5"/>
      </c:catAx>
      <c:valAx>
        <c:axId val="131324160"/>
        <c:scaling>
          <c:orientation val="minMax"/>
        </c:scaling>
        <c:axPos val="l"/>
        <c:majorGridlines>
          <c:spPr>
            <a:ln w="3175">
              <a:solidFill>
                <a:srgbClr val="000000"/>
              </a:solidFill>
              <a:prstDash val="solid"/>
            </a:ln>
          </c:spPr>
        </c:majorGridlines>
        <c:numFmt formatCode="0.0%" sourceLinked="1"/>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s-ES"/>
          </a:p>
        </c:txPr>
        <c:crossAx val="131322624"/>
        <c:crosses val="autoZero"/>
        <c:crossBetween val="between"/>
      </c:valAx>
      <c:spPr>
        <a:solidFill>
          <a:srgbClr val="C0C0C0"/>
        </a:solidFill>
        <a:ln w="12700">
          <a:solidFill>
            <a:srgbClr val="808080"/>
          </a:solidFill>
          <a:prstDash val="solid"/>
        </a:ln>
      </c:spPr>
    </c:plotArea>
    <c:legend>
      <c:legendPos val="r"/>
      <c:layout>
        <c:manualLayout>
          <c:xMode val="edge"/>
          <c:yMode val="edge"/>
          <c:x val="0.57575864065208793"/>
          <c:y val="0.66202090592334495"/>
          <c:w val="0.25947017687281837"/>
          <c:h val="0.11149825783972105"/>
        </c:manualLayout>
      </c:layout>
      <c:spPr>
        <a:no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000000000000744" r="0.75000000000000744" t="1" header="0" footer="0"/>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4" Type="http://schemas.openxmlformats.org/officeDocument/2006/relationships/chart" Target="../charts/chart32.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chart" Target="../charts/chart37.xml"/><Relationship Id="rId4"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11</xdr:col>
      <xdr:colOff>476250</xdr:colOff>
      <xdr:row>23</xdr:row>
      <xdr:rowOff>85725</xdr:rowOff>
    </xdr:from>
    <xdr:to>
      <xdr:col>17</xdr:col>
      <xdr:colOff>476250</xdr:colOff>
      <xdr:row>37</xdr:row>
      <xdr:rowOff>161925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0.00364</cdr:x>
      <cdr:y>0.90749</cdr:y>
    </cdr:from>
    <cdr:to>
      <cdr:x>0.74193</cdr:x>
      <cdr:y>0.9984</cdr:y>
    </cdr:to>
    <cdr:sp macro="" textlink="">
      <cdr:nvSpPr>
        <cdr:cNvPr id="13313" name="Text Box 1"/>
        <cdr:cNvSpPr txBox="1">
          <a:spLocks xmlns:a="http://schemas.openxmlformats.org/drawingml/2006/main" noChangeArrowheads="1"/>
        </cdr:cNvSpPr>
      </cdr:nvSpPr>
      <cdr:spPr bwMode="auto">
        <a:xfrm xmlns:a="http://schemas.openxmlformats.org/drawingml/2006/main">
          <a:off x="16668" y="4040982"/>
          <a:ext cx="3378984" cy="40481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0" strike="noStrike">
              <a:solidFill>
                <a:srgbClr val="000000"/>
              </a:solidFill>
              <a:latin typeface="Arial"/>
              <a:cs typeface="Arial"/>
            </a:rPr>
            <a:t>PETROLEUM</a:t>
          </a:r>
          <a:r>
            <a:rPr lang="es-ES" sz="1000" b="0" i="0" strike="noStrike">
              <a:solidFill>
                <a:srgbClr val="000000"/>
              </a:solidFill>
              <a:latin typeface="Arial"/>
              <a:cs typeface="Arial"/>
            </a:rPr>
            <a:t> PRICE EI</a:t>
          </a:r>
        </a:p>
      </cdr:txBody>
    </cdr:sp>
  </cdr:relSizeAnchor>
  <cdr:relSizeAnchor xmlns:cdr="http://schemas.openxmlformats.org/drawingml/2006/chartDrawing">
    <cdr:from>
      <cdr:x>0.50025</cdr:x>
      <cdr:y>0.50463</cdr:y>
    </cdr:from>
    <cdr:to>
      <cdr:x>0.51448</cdr:x>
      <cdr:y>0.53632</cdr:y>
    </cdr:to>
    <cdr:sp macro="" textlink="">
      <cdr:nvSpPr>
        <cdr:cNvPr id="13314" name="Text Box 2"/>
        <cdr:cNvSpPr txBox="1">
          <a:spLocks xmlns:a="http://schemas.openxmlformats.org/drawingml/2006/main" noChangeArrowheads="1"/>
        </cdr:cNvSpPr>
      </cdr:nvSpPr>
      <cdr:spPr bwMode="auto">
        <a:xfrm xmlns:a="http://schemas.openxmlformats.org/drawingml/2006/main">
          <a:off x="2604776" y="1930628"/>
          <a:ext cx="74029" cy="12103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es-ES" sz="500" b="0" i="0" strike="noStrike">
              <a:solidFill>
                <a:srgbClr val="000000"/>
              </a:solidFill>
              <a:latin typeface="Arial"/>
              <a:cs typeface="Arial"/>
            </a:rPr>
            <a:t>º</a:t>
          </a:r>
        </a:p>
      </cdr:txBody>
    </cdr:sp>
  </cdr:relSizeAnchor>
  <cdr:relSizeAnchor xmlns:cdr="http://schemas.openxmlformats.org/drawingml/2006/chartDrawing">
    <cdr:from>
      <cdr:x>0</cdr:x>
      <cdr:y>0</cdr:y>
    </cdr:from>
    <cdr:to>
      <cdr:x>0.24186</cdr:x>
      <cdr:y>0.03699</cdr:y>
    </cdr:to>
    <cdr:sp macro="" textlink="">
      <cdr:nvSpPr>
        <cdr:cNvPr id="4" name="1 CuadroTexto"/>
        <cdr:cNvSpPr txBox="1"/>
      </cdr:nvSpPr>
      <cdr:spPr>
        <a:xfrm xmlns:a="http://schemas.openxmlformats.org/drawingml/2006/main">
          <a:off x="0" y="0"/>
          <a:ext cx="1273970" cy="15478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900"/>
            <a:t>iNEC</a:t>
          </a:r>
          <a:r>
            <a:rPr lang="es-ES" sz="900" baseline="0"/>
            <a:t>   CUADRO I351 - 03</a:t>
          </a:r>
          <a:endParaRPr lang="es-ES" sz="900"/>
        </a:p>
      </cdr:txBody>
    </cdr:sp>
  </cdr:relSizeAnchor>
  <cdr:relSizeAnchor xmlns:cdr="http://schemas.openxmlformats.org/drawingml/2006/chartDrawing">
    <cdr:from>
      <cdr:x>0</cdr:x>
      <cdr:y>0</cdr:y>
    </cdr:from>
    <cdr:to>
      <cdr:x>0.24186</cdr:x>
      <cdr:y>0.03699</cdr:y>
    </cdr:to>
    <cdr:sp macro="" textlink="">
      <cdr:nvSpPr>
        <cdr:cNvPr id="5" name="1 CuadroTexto"/>
        <cdr:cNvSpPr txBox="1"/>
      </cdr:nvSpPr>
      <cdr:spPr>
        <a:xfrm xmlns:a="http://schemas.openxmlformats.org/drawingml/2006/main">
          <a:off x="0" y="0"/>
          <a:ext cx="1273970" cy="15478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900"/>
            <a:t>iNEC</a:t>
          </a:r>
          <a:r>
            <a:rPr lang="es-ES" sz="900" baseline="0"/>
            <a:t>   CUADRO I351 - 03</a:t>
          </a:r>
          <a:endParaRPr lang="es-ES" sz="900"/>
        </a:p>
      </cdr:txBody>
    </cdr:sp>
  </cdr:relSizeAnchor>
</c:userShapes>
</file>

<file path=xl/drawings/drawing11.xml><?xml version="1.0" encoding="utf-8"?>
<c:userShapes xmlns:c="http://schemas.openxmlformats.org/drawingml/2006/chart">
  <cdr:relSizeAnchor xmlns:cdr="http://schemas.openxmlformats.org/drawingml/2006/chartDrawing">
    <cdr:from>
      <cdr:x>0.69688</cdr:x>
      <cdr:y>0.92688</cdr:y>
    </cdr:from>
    <cdr:to>
      <cdr:x>0.97126</cdr:x>
      <cdr:y>0.9801</cdr:y>
    </cdr:to>
    <cdr:sp macro="" textlink="">
      <cdr:nvSpPr>
        <cdr:cNvPr id="2" name="1 CuadroTexto"/>
        <cdr:cNvSpPr txBox="1"/>
      </cdr:nvSpPr>
      <cdr:spPr>
        <a:xfrm xmlns:a="http://schemas.openxmlformats.org/drawingml/2006/main">
          <a:off x="3235731" y="2695795"/>
          <a:ext cx="1273970" cy="154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900"/>
            <a:t>iNEC</a:t>
          </a:r>
          <a:r>
            <a:rPr lang="es-ES" sz="900" baseline="0"/>
            <a:t>   CUADRO I351 - 03</a:t>
          </a:r>
          <a:endParaRPr lang="es-ES" sz="900"/>
        </a:p>
      </cdr:txBody>
    </cdr:sp>
  </cdr:relSizeAnchor>
</c:userShapes>
</file>

<file path=xl/drawings/drawing12.xml><?xml version="1.0" encoding="utf-8"?>
<c:userShapes xmlns:c="http://schemas.openxmlformats.org/drawingml/2006/chart">
  <cdr:relSizeAnchor xmlns:cdr="http://schemas.openxmlformats.org/drawingml/2006/chartDrawing">
    <cdr:from>
      <cdr:x>0.00802</cdr:x>
      <cdr:y>0.92026</cdr:y>
    </cdr:from>
    <cdr:to>
      <cdr:x>0.74631</cdr:x>
      <cdr:y>0.98523</cdr:y>
    </cdr:to>
    <cdr:sp macro="" textlink="">
      <cdr:nvSpPr>
        <cdr:cNvPr id="13313" name="Text Box 1"/>
        <cdr:cNvSpPr txBox="1">
          <a:spLocks xmlns:a="http://schemas.openxmlformats.org/drawingml/2006/main" noChangeArrowheads="1"/>
        </cdr:cNvSpPr>
      </cdr:nvSpPr>
      <cdr:spPr bwMode="auto">
        <a:xfrm xmlns:a="http://schemas.openxmlformats.org/drawingml/2006/main">
          <a:off x="43610" y="3709987"/>
          <a:ext cx="4015393" cy="2619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0" strike="noStrike">
              <a:solidFill>
                <a:srgbClr val="000000"/>
              </a:solidFill>
              <a:latin typeface="Arial"/>
              <a:cs typeface="Arial"/>
            </a:rPr>
            <a:t>PETROLEUM</a:t>
          </a:r>
          <a:r>
            <a:rPr lang="es-ES" sz="1000" b="0" i="0" strike="noStrike">
              <a:solidFill>
                <a:srgbClr val="000000"/>
              </a:solidFill>
              <a:latin typeface="Arial"/>
              <a:cs typeface="Arial"/>
            </a:rPr>
            <a:t> PRICE EIA-DO</a:t>
          </a:r>
        </a:p>
      </cdr:txBody>
    </cdr:sp>
  </cdr:relSizeAnchor>
  <cdr:relSizeAnchor xmlns:cdr="http://schemas.openxmlformats.org/drawingml/2006/chartDrawing">
    <cdr:from>
      <cdr:x>0.50025</cdr:x>
      <cdr:y>0.50463</cdr:y>
    </cdr:from>
    <cdr:to>
      <cdr:x>0.51448</cdr:x>
      <cdr:y>0.53632</cdr:y>
    </cdr:to>
    <cdr:sp macro="" textlink="">
      <cdr:nvSpPr>
        <cdr:cNvPr id="13314" name="Text Box 2"/>
        <cdr:cNvSpPr txBox="1">
          <a:spLocks xmlns:a="http://schemas.openxmlformats.org/drawingml/2006/main" noChangeArrowheads="1"/>
        </cdr:cNvSpPr>
      </cdr:nvSpPr>
      <cdr:spPr bwMode="auto">
        <a:xfrm xmlns:a="http://schemas.openxmlformats.org/drawingml/2006/main">
          <a:off x="2604776" y="1930628"/>
          <a:ext cx="74029" cy="12103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es-ES" sz="500" b="0" i="0" strike="noStrike">
              <a:solidFill>
                <a:srgbClr val="000000"/>
              </a:solidFill>
              <a:latin typeface="Arial"/>
              <a:cs typeface="Arial"/>
            </a:rPr>
            <a:t>º</a:t>
          </a:r>
        </a:p>
      </cdr:txBody>
    </cdr:sp>
  </cdr:relSizeAnchor>
  <cdr:relSizeAnchor xmlns:cdr="http://schemas.openxmlformats.org/drawingml/2006/chartDrawing">
    <cdr:from>
      <cdr:x>0</cdr:x>
      <cdr:y>0</cdr:y>
    </cdr:from>
    <cdr:to>
      <cdr:x>0.24186</cdr:x>
      <cdr:y>0.03699</cdr:y>
    </cdr:to>
    <cdr:sp macro="" textlink="">
      <cdr:nvSpPr>
        <cdr:cNvPr id="4" name="1 CuadroTexto"/>
        <cdr:cNvSpPr txBox="1"/>
      </cdr:nvSpPr>
      <cdr:spPr>
        <a:xfrm xmlns:a="http://schemas.openxmlformats.org/drawingml/2006/main">
          <a:off x="0" y="0"/>
          <a:ext cx="1273970" cy="15478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900"/>
            <a:t>iNEC</a:t>
          </a:r>
          <a:r>
            <a:rPr lang="es-ES" sz="900" baseline="0"/>
            <a:t>   CUADRO I351 - 03</a:t>
          </a:r>
          <a:endParaRPr lang="es-ES" sz="900"/>
        </a:p>
      </cdr:txBody>
    </cdr:sp>
  </cdr:relSizeAnchor>
  <cdr:relSizeAnchor xmlns:cdr="http://schemas.openxmlformats.org/drawingml/2006/chartDrawing">
    <cdr:from>
      <cdr:x>0</cdr:x>
      <cdr:y>0</cdr:y>
    </cdr:from>
    <cdr:to>
      <cdr:x>0.24186</cdr:x>
      <cdr:y>0.03699</cdr:y>
    </cdr:to>
    <cdr:sp macro="" textlink="">
      <cdr:nvSpPr>
        <cdr:cNvPr id="5" name="1 CuadroTexto"/>
        <cdr:cNvSpPr txBox="1"/>
      </cdr:nvSpPr>
      <cdr:spPr>
        <a:xfrm xmlns:a="http://schemas.openxmlformats.org/drawingml/2006/main">
          <a:off x="0" y="0"/>
          <a:ext cx="1273970" cy="15478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900"/>
            <a:t>iNEC</a:t>
          </a:r>
          <a:r>
            <a:rPr lang="es-ES" sz="900" baseline="0"/>
            <a:t>   CUADRO I351 - 03</a:t>
          </a:r>
          <a:endParaRPr lang="es-ES" sz="900"/>
        </a:p>
      </cdr:txBody>
    </cdr:sp>
  </cdr:relSizeAnchor>
</c:userShapes>
</file>

<file path=xl/drawings/drawing13.xml><?xml version="1.0" encoding="utf-8"?>
<xdr:wsDr xmlns:xdr="http://schemas.openxmlformats.org/drawingml/2006/spreadsheetDrawing" xmlns:a="http://schemas.openxmlformats.org/drawingml/2006/main">
  <xdr:twoCellAnchor>
    <xdr:from>
      <xdr:col>14</xdr:col>
      <xdr:colOff>523875</xdr:colOff>
      <xdr:row>8</xdr:row>
      <xdr:rowOff>28575</xdr:rowOff>
    </xdr:from>
    <xdr:to>
      <xdr:col>21</xdr:col>
      <xdr:colOff>257175</xdr:colOff>
      <xdr:row>23</xdr:row>
      <xdr:rowOff>57150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161925</xdr:colOff>
      <xdr:row>28</xdr:row>
      <xdr:rowOff>114299</xdr:rowOff>
    </xdr:from>
    <xdr:to>
      <xdr:col>20</xdr:col>
      <xdr:colOff>161925</xdr:colOff>
      <xdr:row>44</xdr:row>
      <xdr:rowOff>28574</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161925</xdr:colOff>
      <xdr:row>52</xdr:row>
      <xdr:rowOff>133349</xdr:rowOff>
    </xdr:from>
    <xdr:to>
      <xdr:col>11</xdr:col>
      <xdr:colOff>752475</xdr:colOff>
      <xdr:row>72</xdr:row>
      <xdr:rowOff>123824</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609600</xdr:colOff>
      <xdr:row>90</xdr:row>
      <xdr:rowOff>161924</xdr:rowOff>
    </xdr:from>
    <xdr:to>
      <xdr:col>13</xdr:col>
      <xdr:colOff>609600</xdr:colOff>
      <xdr:row>110</xdr:row>
      <xdr:rowOff>57149</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85725</xdr:colOff>
      <xdr:row>41</xdr:row>
      <xdr:rowOff>19050</xdr:rowOff>
    </xdr:from>
    <xdr:to>
      <xdr:col>11</xdr:col>
      <xdr:colOff>123825</xdr:colOff>
      <xdr:row>45</xdr:row>
      <xdr:rowOff>152400</xdr:rowOff>
    </xdr:to>
    <xdr:sp macro="" textlink="">
      <xdr:nvSpPr>
        <xdr:cNvPr id="6" name="5 Llamada rectangular redondeada"/>
        <xdr:cNvSpPr/>
      </xdr:nvSpPr>
      <xdr:spPr>
        <a:xfrm>
          <a:off x="8010525" y="6734175"/>
          <a:ext cx="1085850" cy="781050"/>
        </a:xfrm>
        <a:prstGeom prst="wedgeRoundRectCallout">
          <a:avLst>
            <a:gd name="adj1" fmla="val -68750"/>
            <a:gd name="adj2" fmla="val 8737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variacion</a:t>
          </a:r>
          <a:r>
            <a:rPr lang="es-ES" sz="1100" baseline="0"/>
            <a:t> incremental Promedio </a:t>
          </a:r>
          <a:endParaRPr lang="es-E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581025</xdr:colOff>
      <xdr:row>12</xdr:row>
      <xdr:rowOff>133351</xdr:rowOff>
    </xdr:from>
    <xdr:to>
      <xdr:col>22</xdr:col>
      <xdr:colOff>247650</xdr:colOff>
      <xdr:row>32</xdr:row>
      <xdr:rowOff>76201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590549</xdr:colOff>
      <xdr:row>37</xdr:row>
      <xdr:rowOff>85725</xdr:rowOff>
    </xdr:from>
    <xdr:to>
      <xdr:col>22</xdr:col>
      <xdr:colOff>276224</xdr:colOff>
      <xdr:row>54</xdr:row>
      <xdr:rowOff>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247649</xdr:colOff>
      <xdr:row>58</xdr:row>
      <xdr:rowOff>104775</xdr:rowOff>
    </xdr:from>
    <xdr:to>
      <xdr:col>22</xdr:col>
      <xdr:colOff>238124</xdr:colOff>
      <xdr:row>75</xdr:row>
      <xdr:rowOff>47625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400050</xdr:colOff>
      <xdr:row>65</xdr:row>
      <xdr:rowOff>114300</xdr:rowOff>
    </xdr:from>
    <xdr:to>
      <xdr:col>34</xdr:col>
      <xdr:colOff>400050</xdr:colOff>
      <xdr:row>82</xdr:row>
      <xdr:rowOff>57150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304800</xdr:colOff>
      <xdr:row>84</xdr:row>
      <xdr:rowOff>133350</xdr:rowOff>
    </xdr:from>
    <xdr:to>
      <xdr:col>34</xdr:col>
      <xdr:colOff>304800</xdr:colOff>
      <xdr:row>101</xdr:row>
      <xdr:rowOff>114300</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276225</xdr:colOff>
      <xdr:row>5</xdr:row>
      <xdr:rowOff>9525</xdr:rowOff>
    </xdr:from>
    <xdr:to>
      <xdr:col>27</xdr:col>
      <xdr:colOff>276225</xdr:colOff>
      <xdr:row>21</xdr:row>
      <xdr:rowOff>38100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752475</xdr:colOff>
      <xdr:row>77</xdr:row>
      <xdr:rowOff>19050</xdr:rowOff>
    </xdr:from>
    <xdr:to>
      <xdr:col>8</xdr:col>
      <xdr:colOff>400050</xdr:colOff>
      <xdr:row>79</xdr:row>
      <xdr:rowOff>104775</xdr:rowOff>
    </xdr:to>
    <xdr:pic>
      <xdr:nvPicPr>
        <xdr:cNvPr id="2" name="Picture 1" descr="http://www.stockssite.com/pf/tce/11_image002.gif"/>
        <xdr:cNvPicPr>
          <a:picLocks noChangeAspect="1" noChangeArrowheads="1"/>
        </xdr:cNvPicPr>
      </xdr:nvPicPr>
      <xdr:blipFill>
        <a:blip xmlns:r="http://schemas.openxmlformats.org/officeDocument/2006/relationships" r:embed="rId1" cstate="print"/>
        <a:srcRect/>
        <a:stretch>
          <a:fillRect/>
        </a:stretch>
      </xdr:blipFill>
      <xdr:spPr bwMode="auto">
        <a:xfrm>
          <a:off x="3914775" y="12620625"/>
          <a:ext cx="1933575" cy="4476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171450</xdr:colOff>
      <xdr:row>52</xdr:row>
      <xdr:rowOff>38100</xdr:rowOff>
    </xdr:from>
    <xdr:to>
      <xdr:col>12</xdr:col>
      <xdr:colOff>428625</xdr:colOff>
      <xdr:row>67</xdr:row>
      <xdr:rowOff>685800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123825</xdr:colOff>
      <xdr:row>15</xdr:row>
      <xdr:rowOff>57150</xdr:rowOff>
    </xdr:from>
    <xdr:to>
      <xdr:col>12</xdr:col>
      <xdr:colOff>476250</xdr:colOff>
      <xdr:row>27</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142875</xdr:colOff>
      <xdr:row>1</xdr:row>
      <xdr:rowOff>19050</xdr:rowOff>
    </xdr:from>
    <xdr:to>
      <xdr:col>12</xdr:col>
      <xdr:colOff>438150</xdr:colOff>
      <xdr:row>14</xdr:row>
      <xdr:rowOff>85725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200025</xdr:colOff>
      <xdr:row>27</xdr:row>
      <xdr:rowOff>152400</xdr:rowOff>
    </xdr:from>
    <xdr:to>
      <xdr:col>12</xdr:col>
      <xdr:colOff>428625</xdr:colOff>
      <xdr:row>39</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133350</xdr:colOff>
      <xdr:row>40</xdr:row>
      <xdr:rowOff>57150</xdr:rowOff>
    </xdr:from>
    <xdr:to>
      <xdr:col>12</xdr:col>
      <xdr:colOff>390525</xdr:colOff>
      <xdr:row>52</xdr:row>
      <xdr:rowOff>57150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190500</xdr:colOff>
      <xdr:row>68</xdr:row>
      <xdr:rowOff>209550</xdr:rowOff>
    </xdr:from>
    <xdr:to>
      <xdr:col>12</xdr:col>
      <xdr:colOff>352425</xdr:colOff>
      <xdr:row>81</xdr:row>
      <xdr:rowOff>104775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200025</xdr:colOff>
      <xdr:row>52</xdr:row>
      <xdr:rowOff>66675</xdr:rowOff>
    </xdr:from>
    <xdr:to>
      <xdr:col>13</xdr:col>
      <xdr:colOff>152400</xdr:colOff>
      <xdr:row>68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123825</xdr:colOff>
      <xdr:row>15</xdr:row>
      <xdr:rowOff>57150</xdr:rowOff>
    </xdr:from>
    <xdr:to>
      <xdr:col>12</xdr:col>
      <xdr:colOff>476250</xdr:colOff>
      <xdr:row>27</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142875</xdr:colOff>
      <xdr:row>1</xdr:row>
      <xdr:rowOff>19050</xdr:rowOff>
    </xdr:from>
    <xdr:to>
      <xdr:col>12</xdr:col>
      <xdr:colOff>438150</xdr:colOff>
      <xdr:row>14</xdr:row>
      <xdr:rowOff>85725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200025</xdr:colOff>
      <xdr:row>27</xdr:row>
      <xdr:rowOff>152400</xdr:rowOff>
    </xdr:from>
    <xdr:to>
      <xdr:col>12</xdr:col>
      <xdr:colOff>428625</xdr:colOff>
      <xdr:row>39</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180975</xdr:colOff>
      <xdr:row>40</xdr:row>
      <xdr:rowOff>76200</xdr:rowOff>
    </xdr:from>
    <xdr:to>
      <xdr:col>12</xdr:col>
      <xdr:colOff>438150</xdr:colOff>
      <xdr:row>52</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68</xdr:row>
      <xdr:rowOff>28575</xdr:rowOff>
    </xdr:from>
    <xdr:to>
      <xdr:col>13</xdr:col>
      <xdr:colOff>114300</xdr:colOff>
      <xdr:row>82</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200025</xdr:colOff>
      <xdr:row>52</xdr:row>
      <xdr:rowOff>66675</xdr:rowOff>
    </xdr:from>
    <xdr:to>
      <xdr:col>13</xdr:col>
      <xdr:colOff>152400</xdr:colOff>
      <xdr:row>68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123825</xdr:colOff>
      <xdr:row>15</xdr:row>
      <xdr:rowOff>57150</xdr:rowOff>
    </xdr:from>
    <xdr:to>
      <xdr:col>12</xdr:col>
      <xdr:colOff>476250</xdr:colOff>
      <xdr:row>27</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85725</xdr:colOff>
      <xdr:row>0</xdr:row>
      <xdr:rowOff>133350</xdr:rowOff>
    </xdr:from>
    <xdr:to>
      <xdr:col>12</xdr:col>
      <xdr:colOff>381000</xdr:colOff>
      <xdr:row>14</xdr:row>
      <xdr:rowOff>38100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200025</xdr:colOff>
      <xdr:row>27</xdr:row>
      <xdr:rowOff>152400</xdr:rowOff>
    </xdr:from>
    <xdr:to>
      <xdr:col>12</xdr:col>
      <xdr:colOff>428625</xdr:colOff>
      <xdr:row>39</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180975</xdr:colOff>
      <xdr:row>40</xdr:row>
      <xdr:rowOff>76200</xdr:rowOff>
    </xdr:from>
    <xdr:to>
      <xdr:col>12</xdr:col>
      <xdr:colOff>438150</xdr:colOff>
      <xdr:row>52</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238125</xdr:colOff>
      <xdr:row>68</xdr:row>
      <xdr:rowOff>57149</xdr:rowOff>
    </xdr:from>
    <xdr:to>
      <xdr:col>13</xdr:col>
      <xdr:colOff>47625</xdr:colOff>
      <xdr:row>81</xdr:row>
      <xdr:rowOff>133349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171450</xdr:colOff>
      <xdr:row>4</xdr:row>
      <xdr:rowOff>142875</xdr:rowOff>
    </xdr:from>
    <xdr:to>
      <xdr:col>15</xdr:col>
      <xdr:colOff>733425</xdr:colOff>
      <xdr:row>24</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161925</xdr:colOff>
      <xdr:row>24</xdr:row>
      <xdr:rowOff>0</xdr:rowOff>
    </xdr:from>
    <xdr:to>
      <xdr:col>15</xdr:col>
      <xdr:colOff>733425</xdr:colOff>
      <xdr:row>48</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19050</xdr:colOff>
      <xdr:row>22</xdr:row>
      <xdr:rowOff>114299</xdr:rowOff>
    </xdr:from>
    <xdr:to>
      <xdr:col>22</xdr:col>
      <xdr:colOff>59531</xdr:colOff>
      <xdr:row>45</xdr:row>
      <xdr:rowOff>35718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7142</xdr:colOff>
      <xdr:row>2</xdr:row>
      <xdr:rowOff>54769</xdr:rowOff>
    </xdr:from>
    <xdr:to>
      <xdr:col>22</xdr:col>
      <xdr:colOff>71437</xdr:colOff>
      <xdr:row>22</xdr:row>
      <xdr:rowOff>119062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219075</xdr:colOff>
      <xdr:row>27</xdr:row>
      <xdr:rowOff>95250</xdr:rowOff>
    </xdr:from>
    <xdr:to>
      <xdr:col>15</xdr:col>
      <xdr:colOff>647700</xdr:colOff>
      <xdr:row>29</xdr:row>
      <xdr:rowOff>133350</xdr:rowOff>
    </xdr:to>
    <xdr:sp macro="" textlink="">
      <xdr:nvSpPr>
        <xdr:cNvPr id="4" name="WordArt 3"/>
        <xdr:cNvSpPr>
          <a:spLocks noChangeArrowheads="1" noChangeShapeType="1" noTextEdit="1"/>
        </xdr:cNvSpPr>
      </xdr:nvSpPr>
      <xdr:spPr bwMode="auto">
        <a:xfrm>
          <a:off x="8886825" y="4552950"/>
          <a:ext cx="942975" cy="361950"/>
        </a:xfrm>
        <a:prstGeom prst="rect">
          <a:avLst/>
        </a:prstGeom>
      </xdr:spPr>
      <xdr:txBody>
        <a:bodyPr wrap="none" fromWordArt="1">
          <a:prstTxWarp prst="textSlantUp">
            <a:avLst>
              <a:gd name="adj" fmla="val 55556"/>
            </a:avLst>
          </a:prstTxWarp>
        </a:bodyPr>
        <a:lstStyle/>
        <a:p>
          <a:pPr algn="ctr" rtl="0"/>
          <a:r>
            <a:rPr lang="es-ES" sz="900" kern="10" spc="0">
              <a:ln w="9525">
                <a:solidFill>
                  <a:srgbClr val="008000"/>
                </a:solidFill>
                <a:round/>
                <a:headEnd/>
                <a:tailEnd/>
              </a:ln>
              <a:solidFill>
                <a:srgbClr val="000000"/>
              </a:solidFill>
              <a:effectLst/>
              <a:latin typeface="Arial Black"/>
            </a:rPr>
            <a:t>Desfase 1 año Pmá</a:t>
          </a:r>
        </a:p>
      </xdr:txBody>
    </xdr:sp>
    <xdr:clientData/>
  </xdr:twoCellAnchor>
  <xdr:twoCellAnchor>
    <xdr:from>
      <xdr:col>12</xdr:col>
      <xdr:colOff>38100</xdr:colOff>
      <xdr:row>39</xdr:row>
      <xdr:rowOff>142875</xdr:rowOff>
    </xdr:from>
    <xdr:to>
      <xdr:col>12</xdr:col>
      <xdr:colOff>323850</xdr:colOff>
      <xdr:row>40</xdr:row>
      <xdr:rowOff>152400</xdr:rowOff>
    </xdr:to>
    <xdr:sp macro="" textlink="">
      <xdr:nvSpPr>
        <xdr:cNvPr id="5" name="Line 4"/>
        <xdr:cNvSpPr>
          <a:spLocks noChangeShapeType="1"/>
        </xdr:cNvSpPr>
      </xdr:nvSpPr>
      <xdr:spPr bwMode="auto">
        <a:xfrm flipH="1">
          <a:off x="7543800" y="6543675"/>
          <a:ext cx="285750" cy="171450"/>
        </a:xfrm>
        <a:prstGeom prst="line">
          <a:avLst/>
        </a:prstGeom>
        <a:noFill/>
        <a:ln w="9525">
          <a:solidFill>
            <a:srgbClr val="000000"/>
          </a:solidFill>
          <a:round/>
          <a:headEnd/>
          <a:tailEnd type="triangle" w="med" len="med"/>
        </a:ln>
      </xdr:spPr>
    </xdr:sp>
    <xdr:clientData/>
  </xdr:twoCellAnchor>
  <xdr:twoCellAnchor>
    <xdr:from>
      <xdr:col>12</xdr:col>
      <xdr:colOff>76200</xdr:colOff>
      <xdr:row>43</xdr:row>
      <xdr:rowOff>57150</xdr:rowOff>
    </xdr:from>
    <xdr:to>
      <xdr:col>12</xdr:col>
      <xdr:colOff>361950</xdr:colOff>
      <xdr:row>44</xdr:row>
      <xdr:rowOff>66675</xdr:rowOff>
    </xdr:to>
    <xdr:sp macro="" textlink="">
      <xdr:nvSpPr>
        <xdr:cNvPr id="6" name="Line 5"/>
        <xdr:cNvSpPr>
          <a:spLocks noChangeShapeType="1"/>
        </xdr:cNvSpPr>
      </xdr:nvSpPr>
      <xdr:spPr bwMode="auto">
        <a:xfrm flipH="1">
          <a:off x="7581900" y="7105650"/>
          <a:ext cx="285750" cy="171450"/>
        </a:xfrm>
        <a:prstGeom prst="line">
          <a:avLst/>
        </a:prstGeom>
        <a:noFill/>
        <a:ln w="9525">
          <a:solidFill>
            <a:srgbClr val="000000"/>
          </a:solidFill>
          <a:round/>
          <a:headEnd/>
          <a:tailEnd type="triangle" w="med" len="med"/>
        </a:ln>
      </xdr:spPr>
    </xdr:sp>
    <xdr:clientData/>
  </xdr:twoCellAnchor>
  <xdr:twoCellAnchor>
    <xdr:from>
      <xdr:col>12</xdr:col>
      <xdr:colOff>76200</xdr:colOff>
      <xdr:row>44</xdr:row>
      <xdr:rowOff>57150</xdr:rowOff>
    </xdr:from>
    <xdr:to>
      <xdr:col>12</xdr:col>
      <xdr:colOff>361950</xdr:colOff>
      <xdr:row>45</xdr:row>
      <xdr:rowOff>66675</xdr:rowOff>
    </xdr:to>
    <xdr:sp macro="" textlink="">
      <xdr:nvSpPr>
        <xdr:cNvPr id="7" name="Line 6"/>
        <xdr:cNvSpPr>
          <a:spLocks noChangeShapeType="1"/>
        </xdr:cNvSpPr>
      </xdr:nvSpPr>
      <xdr:spPr bwMode="auto">
        <a:xfrm flipH="1">
          <a:off x="7581900" y="7267575"/>
          <a:ext cx="285750" cy="171450"/>
        </a:xfrm>
        <a:prstGeom prst="line">
          <a:avLst/>
        </a:prstGeom>
        <a:noFill/>
        <a:ln w="9525">
          <a:solidFill>
            <a:srgbClr val="000000"/>
          </a:solidFill>
          <a:round/>
          <a:headEnd/>
          <a:tailEnd type="triangle" w="med" len="med"/>
        </a:ln>
      </xdr:spPr>
    </xdr:sp>
    <xdr:clientData/>
  </xdr:twoCellAnchor>
  <xdr:twoCellAnchor>
    <xdr:from>
      <xdr:col>9</xdr:col>
      <xdr:colOff>354419</xdr:colOff>
      <xdr:row>15</xdr:row>
      <xdr:rowOff>9525</xdr:rowOff>
    </xdr:from>
    <xdr:to>
      <xdr:col>12</xdr:col>
      <xdr:colOff>438150</xdr:colOff>
      <xdr:row>20</xdr:row>
      <xdr:rowOff>99680</xdr:rowOff>
    </xdr:to>
    <xdr:sp macro="" textlink="">
      <xdr:nvSpPr>
        <xdr:cNvPr id="8" name="Text Box 7"/>
        <xdr:cNvSpPr txBox="1">
          <a:spLocks noChangeArrowheads="1"/>
        </xdr:cNvSpPr>
      </xdr:nvSpPr>
      <xdr:spPr bwMode="auto">
        <a:xfrm rot="1039482">
          <a:off x="5631269" y="2524125"/>
          <a:ext cx="2312581" cy="899780"/>
        </a:xfrm>
        <a:prstGeom prst="rect">
          <a:avLst/>
        </a:prstGeom>
        <a:solidFill>
          <a:srgbClr val="FFFF00"/>
        </a:solidFill>
        <a:ln w="9525">
          <a:solidFill>
            <a:srgbClr val="000000"/>
          </a:solidFill>
          <a:miter lim="800000"/>
          <a:headEnd/>
          <a:tailEnd/>
        </a:ln>
      </xdr:spPr>
      <xdr:txBody>
        <a:bodyPr vertOverflow="clip" wrap="square" lIns="54864" tIns="41148" rIns="0" bIns="0" anchor="t" upright="1"/>
        <a:lstStyle/>
        <a:p>
          <a:pPr algn="l" rtl="0">
            <a:defRPr sz="1000"/>
          </a:pPr>
          <a:r>
            <a:rPr lang="es-ES" sz="2400" b="0" i="0" strike="noStrike">
              <a:solidFill>
                <a:srgbClr val="000000"/>
              </a:solidFill>
              <a:latin typeface="Arial"/>
              <a:cs typeface="Arial"/>
            </a:rPr>
            <a:t>Estas  fueron las gráficas usadas para variación de precios Modelo año 2009</a:t>
          </a:r>
        </a:p>
      </xdr:txBody>
    </xdr:sp>
    <xdr:clientData/>
  </xdr:twoCellAnchor>
  <xdr:twoCellAnchor>
    <xdr:from>
      <xdr:col>7</xdr:col>
      <xdr:colOff>586174</xdr:colOff>
      <xdr:row>78</xdr:row>
      <xdr:rowOff>54548</xdr:rowOff>
    </xdr:from>
    <xdr:to>
      <xdr:col>14</xdr:col>
      <xdr:colOff>276335</xdr:colOff>
      <xdr:row>95</xdr:row>
      <xdr:rowOff>129308</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582575</xdr:colOff>
      <xdr:row>78</xdr:row>
      <xdr:rowOff>63961</xdr:rowOff>
    </xdr:from>
    <xdr:to>
      <xdr:col>23</xdr:col>
      <xdr:colOff>264983</xdr:colOff>
      <xdr:row>95</xdr:row>
      <xdr:rowOff>105495</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559594</xdr:colOff>
      <xdr:row>2</xdr:row>
      <xdr:rowOff>16669</xdr:rowOff>
    </xdr:from>
    <xdr:to>
      <xdr:col>22</xdr:col>
      <xdr:colOff>211931</xdr:colOff>
      <xdr:row>21</xdr:row>
      <xdr:rowOff>95250</xdr:rowOff>
    </xdr:to>
    <xdr:graphicFrame macro="">
      <xdr:nvGraphicFramePr>
        <xdr:cNvPr id="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392906</xdr:colOff>
      <xdr:row>110</xdr:row>
      <xdr:rowOff>142875</xdr:rowOff>
    </xdr:from>
    <xdr:to>
      <xdr:col>17</xdr:col>
      <xdr:colOff>464344</xdr:colOff>
      <xdr:row>127</xdr:row>
      <xdr:rowOff>47625</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0.0168</cdr:x>
      <cdr:y>0.92074</cdr:y>
    </cdr:from>
    <cdr:to>
      <cdr:x>0.77747</cdr:x>
      <cdr:y>0.99049</cdr:y>
    </cdr:to>
    <cdr:sp macro="" textlink="">
      <cdr:nvSpPr>
        <cdr:cNvPr id="12289" name="Text Box 1"/>
        <cdr:cNvSpPr txBox="1">
          <a:spLocks xmlns:a="http://schemas.openxmlformats.org/drawingml/2006/main" noChangeArrowheads="1"/>
        </cdr:cNvSpPr>
      </cdr:nvSpPr>
      <cdr:spPr bwMode="auto">
        <a:xfrm xmlns:a="http://schemas.openxmlformats.org/drawingml/2006/main">
          <a:off x="88105" y="3457576"/>
          <a:ext cx="3988594" cy="2619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600" b="0" i="0" strike="noStrike" baseline="0">
              <a:solidFill>
                <a:srgbClr val="000000"/>
              </a:solidFill>
              <a:latin typeface="Arial"/>
              <a:cs typeface="Arial"/>
            </a:rPr>
            <a:t>PETROLEUM PRICE EIA-DOE </a:t>
          </a:r>
        </a:p>
        <a:p xmlns:a="http://schemas.openxmlformats.org/drawingml/2006/main">
          <a:pPr algn="l" rtl="0">
            <a:defRPr sz="1000"/>
          </a:pPr>
          <a:r>
            <a:rPr lang="es-ES" sz="700" b="0" i="0" strike="noStrike" baseline="0">
              <a:solidFill>
                <a:srgbClr val="000000"/>
              </a:solidFill>
              <a:latin typeface="Arial"/>
              <a:cs typeface="Arial"/>
            </a:rPr>
            <a:t>November</a:t>
          </a:r>
          <a:r>
            <a:rPr lang="es-ES" sz="600" b="0" i="0" strike="noStrike" baseline="0">
              <a:solidFill>
                <a:srgbClr val="000000"/>
              </a:solidFill>
              <a:latin typeface="Arial"/>
              <a:cs typeface="Arial"/>
            </a:rPr>
            <a:t> </a:t>
          </a:r>
          <a:r>
            <a:rPr lang="es-ES" sz="700" b="0" i="0" strike="noStrike" baseline="0">
              <a:solidFill>
                <a:srgbClr val="000000"/>
              </a:solidFill>
              <a:latin typeface="Arial"/>
              <a:cs typeface="Arial"/>
            </a:rPr>
            <a:t>2008</a:t>
          </a:r>
          <a:r>
            <a:rPr lang="es-ES" sz="600" b="0" i="0" strike="noStrike" baseline="0">
              <a:solidFill>
                <a:srgbClr val="000000"/>
              </a:solidFill>
              <a:latin typeface="Arial"/>
              <a:cs typeface="Arial"/>
            </a:rPr>
            <a:t> - STEO</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TESA/Gerencia%20de%20Planeamiento%20%20de%20Inversiones/Pronosticos%20de%20Demanda/Pronosticos%20de%20Demanda%202012-2026/PIB-2012-Estimado%20CC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TESA/Pronosticos%20de%20Demanda/Pronosticos%20de%20Demanda%202007%20MRN/PIB-2006-EstimadoMR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rramirez/CONFIG~1/Temp/PIB-2006-EstimadoMR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IB-2013-Estimado%20CCB.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IB-2009-Estimado%20CC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rramirez/Configuraci&#243;n%20local/Archivos%20temporales%20de%20Internet/OLK69/Datos%20hist&#243;ricos...2008-2023%20%20CC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Pesin%202013%20-2027%2020%20Enero%202013\Cuadros%20y%20Graficas%20Informe%20%20%202013-2027.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bermudez/AppData/Local/Microsoft/Windows/Temporary%20Internet%20Files/Content.Outlook/ZFQ8B0G0/Demanda%20x%20Barra%20y%20Distribuidor%20(2)%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01-2010 Contraloría Historico"/>
      <sheetName val="2001-2010 Contraloría Var Hist "/>
      <sheetName val="2001-10Contraloría Estruc. Hist"/>
      <sheetName val="PIB Estruc IITrim 2010 VALIDADO"/>
      <sheetName val="PIB Estructural II TRIM 2005-11"/>
      <sheetName val="PIB Estruc. III TRIM 2005 -10"/>
      <sheetName val="IMAE 2005 - 11"/>
      <sheetName val="Pronosticos Publicados 2011-15 "/>
      <sheetName val="PIB Mundial vs Panama"/>
      <sheetName val="PIB 2011 Estimado "/>
      <sheetName val="PIB 2011, tres metodologías (M)"/>
      <sheetName val="PIB Estruc. Est. II Trim 2011"/>
      <sheetName val="PIB Estructural III Trim2011Mod"/>
      <sheetName val="PIB 2012 Historico Estimado "/>
      <sheetName val="PIB Estructural 2012 Est. 2T"/>
      <sheetName val="PIB Estructural 2012 Est. 3T"/>
      <sheetName val="Variacion PIB por Act 2001-09"/>
      <sheetName val="Analisis IMAE 2008"/>
      <sheetName val="Analisis IMAE 2008 Anexo"/>
      <sheetName val="Ajuste Ponderado X Actividades"/>
      <sheetName val="Estimado de Impuestos Netos"/>
      <sheetName val="PIB Estructural III Trim 2008 "/>
      <sheetName val="Var.  Estructural 2012  Mod"/>
      <sheetName val="Variacion PIB- Esc. Exp. Canal"/>
      <sheetName val="Tasas PIB INTRACORP"/>
      <sheetName val="Comp.Tasas PIB INTRACORP- Real "/>
      <sheetName val="Tasas PIB INTRACORP (2)"/>
      <sheetName val="Premisas Escenarios"/>
      <sheetName val="Estimacion PIB 2012-2026"/>
      <sheetName val="Pronosticos 2012-2026 "/>
      <sheetName val="Pronosticos 2011-25 mOD +,-5%"/>
      <sheetName val="Estimacion PIB 2010-2024 (2)"/>
      <sheetName val="Pronosticos 2010-24 % (2)"/>
      <sheetName val="Estimacion PIB 2010-2024 (3)"/>
      <sheetName val="Hoja5"/>
      <sheetName val="Pronosticos 2010-24 % (3)"/>
      <sheetName val="Gráfico TASAS 2009-2024"/>
      <sheetName val="Tasas PIB INTRACORP (3)"/>
      <sheetName val="Empalme de Bases 96-82"/>
      <sheetName val="Empalme de Bases 96-82 11-26"/>
      <sheetName val="Mat.  Cons.  2002-2006"/>
      <sheetName val="Produccion fisica Man 2002-06"/>
      <sheetName val="Carac.Consumo Sector Ind."/>
      <sheetName val="Evalua Estimado 2006"/>
      <sheetName val="industria-Algunos indicadores"/>
      <sheetName val="Impacto Sector Sec al PIB "/>
      <sheetName val="PIB MANUFACTURA"/>
      <sheetName val="Est. PIB MANUFACTURA ACP1996Mod"/>
      <sheetName val="Est. PIB MANUFACTURA EMPALM (2)"/>
      <sheetName val="Hoja1"/>
    </sheetNames>
    <sheetDataSet>
      <sheetData sheetId="0">
        <row r="13">
          <cell r="M13">
            <v>658.4</v>
          </cell>
        </row>
      </sheetData>
      <sheetData sheetId="1"/>
      <sheetData sheetId="2"/>
      <sheetData sheetId="3"/>
      <sheetData sheetId="4">
        <row r="13">
          <cell r="AM13">
            <v>2.4808916101940914E-2</v>
          </cell>
        </row>
      </sheetData>
      <sheetData sheetId="5">
        <row r="11">
          <cell r="AF11">
            <v>658.4</v>
          </cell>
        </row>
      </sheetData>
      <sheetData sheetId="6"/>
      <sheetData sheetId="7">
        <row r="14">
          <cell r="G14">
            <v>8</v>
          </cell>
        </row>
      </sheetData>
      <sheetData sheetId="8"/>
      <sheetData sheetId="9"/>
      <sheetData sheetId="10">
        <row r="10">
          <cell r="AH10">
            <v>4.4570267131242902E-2</v>
          </cell>
        </row>
      </sheetData>
      <sheetData sheetId="11"/>
      <sheetData sheetId="12">
        <row r="12">
          <cell r="P12">
            <v>712.90008491218987</v>
          </cell>
        </row>
      </sheetData>
      <sheetData sheetId="13"/>
      <sheetData sheetId="14"/>
      <sheetData sheetId="15">
        <row r="17">
          <cell r="K17">
            <v>1290.2452423243587</v>
          </cell>
        </row>
      </sheetData>
      <sheetData sheetId="16"/>
      <sheetData sheetId="17"/>
      <sheetData sheetId="18"/>
      <sheetData sheetId="19"/>
      <sheetData sheetId="20">
        <row r="27">
          <cell r="N27">
            <v>0.30833039181080124</v>
          </cell>
        </row>
      </sheetData>
      <sheetData sheetId="21"/>
      <sheetData sheetId="22"/>
      <sheetData sheetId="23"/>
      <sheetData sheetId="24">
        <row r="19">
          <cell r="F19">
            <v>2.3443464982300322</v>
          </cell>
        </row>
      </sheetData>
      <sheetData sheetId="25"/>
      <sheetData sheetId="26"/>
      <sheetData sheetId="27"/>
      <sheetData sheetId="28">
        <row r="21">
          <cell r="L21">
            <v>24977.842760165517</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4">
          <cell r="U24">
            <v>-2.7700831024930483E-3</v>
          </cell>
        </row>
      </sheetData>
      <sheetData sheetId="46"/>
      <sheetData sheetId="47">
        <row r="22">
          <cell r="E22">
            <v>1241.540109767576</v>
          </cell>
          <cell r="G22">
            <v>1241.540109767576</v>
          </cell>
          <cell r="I22">
            <v>1241.540109767576</v>
          </cell>
        </row>
        <row r="23">
          <cell r="E23">
            <v>1260.2394231463518</v>
          </cell>
          <cell r="G23">
            <v>1290.2452423243587</v>
          </cell>
          <cell r="I23">
            <v>1234.1178014847396</v>
          </cell>
        </row>
        <row r="24">
          <cell r="E24">
            <v>1256.7484552151984</v>
          </cell>
          <cell r="G24">
            <v>1305.1556264806495</v>
          </cell>
          <cell r="I24">
            <v>1237.6846159398981</v>
          </cell>
        </row>
        <row r="25">
          <cell r="E25">
            <v>1306.1207159557953</v>
          </cell>
          <cell r="G25">
            <v>1367.2822271318607</v>
          </cell>
          <cell r="I25">
            <v>1284.5627487791203</v>
          </cell>
        </row>
        <row r="26">
          <cell r="E26">
            <v>1409.3536247770439</v>
          </cell>
          <cell r="G26">
            <v>1497.0025692915899</v>
          </cell>
          <cell r="I26">
            <v>1371.1853855472484</v>
          </cell>
        </row>
        <row r="27">
          <cell r="E27">
            <v>1455.2349175864879</v>
          </cell>
          <cell r="G27">
            <v>1569.069426046995</v>
          </cell>
          <cell r="I27">
            <v>1402.2676257993412</v>
          </cell>
        </row>
        <row r="28">
          <cell r="E28">
            <v>1509.0955656671395</v>
          </cell>
          <cell r="G28">
            <v>1641.1362828024003</v>
          </cell>
          <cell r="I28">
            <v>1446.598034027736</v>
          </cell>
        </row>
        <row r="29">
          <cell r="E29">
            <v>1571.9329884278993</v>
          </cell>
          <cell r="G29">
            <v>1724.1374212724188</v>
          </cell>
          <cell r="I29">
            <v>1498.0620711664476</v>
          </cell>
        </row>
        <row r="30">
          <cell r="E30">
            <v>1632.2768626664069</v>
          </cell>
          <cell r="G30">
            <v>1807.1385597424373</v>
          </cell>
          <cell r="I30">
            <v>1546.9783836943318</v>
          </cell>
        </row>
        <row r="31">
          <cell r="E31">
            <v>1700.6000921761222</v>
          </cell>
          <cell r="G31">
            <v>1897.0978774853911</v>
          </cell>
          <cell r="I31">
            <v>1603.028325132532</v>
          </cell>
        </row>
        <row r="32">
          <cell r="E32">
            <v>1763.4375149368823</v>
          </cell>
          <cell r="G32">
            <v>1984.075118397087</v>
          </cell>
          <cell r="I32">
            <v>1652.9637275047464</v>
          </cell>
        </row>
        <row r="33">
          <cell r="E33">
            <v>1823.7813891753897</v>
          </cell>
          <cell r="G33">
            <v>2080.4956026077675</v>
          </cell>
          <cell r="I33">
            <v>1701.3704951104648</v>
          </cell>
        </row>
        <row r="34">
          <cell r="E34">
            <v>1879.1381663693924</v>
          </cell>
          <cell r="G34">
            <v>2178.4071252340768</v>
          </cell>
          <cell r="I34">
            <v>1744.681813494529</v>
          </cell>
        </row>
        <row r="35">
          <cell r="E35">
            <v>1976.8852684416854</v>
          </cell>
          <cell r="G35">
            <v>2299.1812369000318</v>
          </cell>
          <cell r="I35">
            <v>1823.15173150801</v>
          </cell>
        </row>
        <row r="36">
          <cell r="E36">
            <v>2044.70978824695</v>
          </cell>
          <cell r="G36">
            <v>2399.0808107471794</v>
          </cell>
          <cell r="I36">
            <v>1873.5966788023902</v>
          </cell>
        </row>
        <row r="37">
          <cell r="E37">
            <v>2121.4733062022333</v>
          </cell>
          <cell r="G37">
            <v>2514.4088973514768</v>
          </cell>
          <cell r="I37">
            <v>1932.9609935014589</v>
          </cell>
        </row>
      </sheetData>
      <sheetData sheetId="48"/>
      <sheetData sheetId="4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ustria-Algunos indicadores"/>
      <sheetName val="PIB 2006, tres metodologías"/>
      <sheetName val="Verificación de Estructura %"/>
      <sheetName val="Evalua Estimado 2005"/>
      <sheetName val="2001-2005-Contraloría"/>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ustria-Algunos indicadores"/>
      <sheetName val="PIB 2006, tres metodologías"/>
      <sheetName val="Verificación de Estructura %"/>
      <sheetName val="Evalua Estimado 2005"/>
      <sheetName val="2001-2005-Contraloría"/>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01-2011 Contraloría Historico"/>
      <sheetName val="2001-2011 Contraloría Var Hist "/>
      <sheetName val="2001-11Contraloría Estruc. Hist"/>
      <sheetName val="Estimado de Impuestos Netos"/>
      <sheetName val="PIB Estructural II TRIM 2005-12"/>
      <sheetName val="VALIDAR PIB Estruc II Trim 2011"/>
      <sheetName val="PIB Estruc. III TRIM 2005 -12"/>
      <sheetName val="IMAE 2005 - 12"/>
      <sheetName val="Pronosticos Publicados 2013-16 "/>
      <sheetName val="PIB Mundial vs Panama  2001-13"/>
      <sheetName val="PIB 2011 Estimado "/>
      <sheetName val="PIB 2012, tres metodologías (M)"/>
      <sheetName val="PIB Estruc. Est. II Trim 2012"/>
      <sheetName val="PIB Estructural III Trim2011Mod"/>
      <sheetName val="PIB 2012 Historico Estimado "/>
      <sheetName val="Variacion PIB por Act 2001-09"/>
      <sheetName val="PIB Estructural 2013 Est. 2T"/>
      <sheetName val="PIB Estructural 2012 Est. 3T"/>
      <sheetName val="Analisis IMAE 2008"/>
      <sheetName val="Analisis IMAE 2008 Anexo"/>
      <sheetName val="Ajuste Ponderado X Actividades"/>
      <sheetName val="PIB Estructural III Trim 2008 "/>
      <sheetName val="Var.  Estructural 2012  Mod"/>
      <sheetName val="Variacion PIB- Esc. Exp. Canal"/>
      <sheetName val="Tasas PIB INTRACORP"/>
      <sheetName val="Comp.Tasas PIB INTRACORP- Real "/>
      <sheetName val="Tasas PIB INTRACORP (2)"/>
      <sheetName val="Premisas Escenarios"/>
      <sheetName val="Estimacion PIB 2012-2026"/>
      <sheetName val="Pronosticos 2012-2026 "/>
      <sheetName val="Estimacion PIB 2013-2027"/>
      <sheetName val="Pronosticos 2013-27"/>
      <sheetName val="Pronosticos 2011-25 mOD +,-5%"/>
      <sheetName val="Estimacion PIB 2010-2024 (2)"/>
      <sheetName val="Pronosticos 2010-24 % (2)"/>
      <sheetName val="Estimacion PIB 2010-2024 (3)"/>
      <sheetName val="Empalme de Bases 96-82 13-27"/>
      <sheetName val="Hoja5"/>
      <sheetName val="Pronosticos 2010-24 % (3)"/>
      <sheetName val="Gráfico TASAS 2009-2024"/>
      <sheetName val="Tasas PIB INTRACORP (3)"/>
      <sheetName val="Empalme de Bases 96-82"/>
      <sheetName val="Empalme de Bases 96-82 11-26"/>
      <sheetName val="Mat.  Cons.  2002-2006"/>
      <sheetName val="Produccion fisica Man 2002-06"/>
      <sheetName val="Carac.Consumo Sector Ind."/>
      <sheetName val="Evalua Estimado 2006"/>
      <sheetName val="industria-Algunos indicadores"/>
      <sheetName val="Impacto Sector Sec al PIB "/>
      <sheetName val="PIB MANUFACTURA"/>
      <sheetName val="Est. PIB MANUFACTURA ACP1996Mod"/>
      <sheetName val="Impacto Man al PIB 2013"/>
      <sheetName val="Est. PIB MANUFACTURA EMPALM (2)"/>
      <sheetName val="Hoja1"/>
    </sheetNames>
    <sheetDataSet>
      <sheetData sheetId="0">
        <row r="13">
          <cell r="N13">
            <v>708.40780000000007</v>
          </cell>
        </row>
        <row r="14">
          <cell r="N14">
            <v>181.5</v>
          </cell>
        </row>
        <row r="15">
          <cell r="N15">
            <v>353.51089999999999</v>
          </cell>
        </row>
        <row r="16">
          <cell r="H16">
            <v>1026.9000000000001</v>
          </cell>
          <cell r="I16">
            <v>1066.7</v>
          </cell>
          <cell r="J16">
            <v>1126.7</v>
          </cell>
          <cell r="K16">
            <v>1170.9014000000002</v>
          </cell>
          <cell r="L16">
            <v>1163.9000000000001</v>
          </cell>
          <cell r="M16">
            <v>1176.7</v>
          </cell>
          <cell r="N16">
            <v>1214.7</v>
          </cell>
        </row>
        <row r="17">
          <cell r="N17">
            <v>610.72050000000002</v>
          </cell>
        </row>
        <row r="18">
          <cell r="N18">
            <v>1437.3512000000001</v>
          </cell>
        </row>
        <row r="19">
          <cell r="N19">
            <v>3443.7141371068365</v>
          </cell>
        </row>
        <row r="20">
          <cell r="N20">
            <v>663.98419999999999</v>
          </cell>
        </row>
        <row r="21">
          <cell r="N21">
            <v>5578.7956871036886</v>
          </cell>
        </row>
        <row r="22">
          <cell r="N22">
            <v>1886.4569999999999</v>
          </cell>
        </row>
        <row r="23">
          <cell r="N23">
            <v>1208.6253069941029</v>
          </cell>
        </row>
        <row r="24">
          <cell r="N24">
            <v>150.34129999999999</v>
          </cell>
        </row>
        <row r="25">
          <cell r="N25">
            <v>196.6474</v>
          </cell>
        </row>
        <row r="26">
          <cell r="N26">
            <v>663.11840000000007</v>
          </cell>
        </row>
        <row r="27">
          <cell r="N27">
            <v>470.28049999999996</v>
          </cell>
        </row>
        <row r="29">
          <cell r="N29">
            <v>51.746000000000002</v>
          </cell>
        </row>
        <row r="30">
          <cell r="N30">
            <v>2186.3839999999996</v>
          </cell>
        </row>
        <row r="31">
          <cell r="N31">
            <v>119.47110000000001</v>
          </cell>
        </row>
        <row r="37">
          <cell r="N37">
            <v>1468.1000000000001</v>
          </cell>
        </row>
        <row r="39">
          <cell r="N39">
            <v>447.21272687986169</v>
          </cell>
        </row>
        <row r="40">
          <cell r="N40">
            <v>527.37579948141763</v>
          </cell>
        </row>
        <row r="41">
          <cell r="N41">
            <v>834.697018150389</v>
          </cell>
        </row>
        <row r="42">
          <cell r="N42">
            <v>190.5855445116681</v>
          </cell>
        </row>
        <row r="43">
          <cell r="H43">
            <v>14041.199999999999</v>
          </cell>
          <cell r="I43">
            <v>15238.599999999999</v>
          </cell>
          <cell r="J43">
            <v>17084.400000000005</v>
          </cell>
          <cell r="K43">
            <v>18812.818146323061</v>
          </cell>
          <cell r="L43">
            <v>19538.399999999998</v>
          </cell>
          <cell r="M43">
            <v>20994.358340882813</v>
          </cell>
          <cell r="N43">
            <v>23271.994431204628</v>
          </cell>
        </row>
      </sheetData>
      <sheetData sheetId="1"/>
      <sheetData sheetId="2"/>
      <sheetData sheetId="3">
        <row r="27">
          <cell r="N27">
            <v>0.30833039181080124</v>
          </cell>
        </row>
        <row r="28">
          <cell r="N28">
            <v>0.26685492410871864</v>
          </cell>
        </row>
        <row r="29">
          <cell r="N29">
            <v>0.56433109777620893</v>
          </cell>
        </row>
        <row r="30">
          <cell r="N30">
            <v>-0.1395164136957289</v>
          </cell>
        </row>
        <row r="85">
          <cell r="I85">
            <v>447.21272687986169</v>
          </cell>
        </row>
        <row r="86">
          <cell r="I86">
            <v>531.67579948141758</v>
          </cell>
        </row>
        <row r="87">
          <cell r="I87">
            <v>834.697018150389</v>
          </cell>
        </row>
        <row r="88">
          <cell r="I88">
            <v>-190.5855445116681</v>
          </cell>
        </row>
      </sheetData>
      <sheetData sheetId="4">
        <row r="13">
          <cell r="AH13">
            <v>195.69391379740551</v>
          </cell>
          <cell r="AI13">
            <v>195.00413180732505</v>
          </cell>
          <cell r="AR13">
            <v>3.2565065151377137E-2</v>
          </cell>
          <cell r="CP13">
            <v>1.8154205607476637</v>
          </cell>
          <cell r="CQ13">
            <v>1.7935276811981815</v>
          </cell>
          <cell r="CR13">
            <v>1.7323943661971828</v>
          </cell>
          <cell r="CS13">
            <v>1.7591431680863174</v>
          </cell>
          <cell r="CT13">
            <v>1.8361261005396192</v>
          </cell>
          <cell r="CU13">
            <v>1.8848539425716122</v>
          </cell>
          <cell r="CV13">
            <v>1.8722313929893053</v>
          </cell>
        </row>
        <row r="14">
          <cell r="AH14">
            <v>28.4</v>
          </cell>
          <cell r="AI14">
            <v>37.487344668786399</v>
          </cell>
          <cell r="AR14">
            <v>-0.22393993073262364</v>
          </cell>
          <cell r="CP14">
            <v>1.9400516795865632</v>
          </cell>
          <cell r="CQ14">
            <v>2.2092326139088727</v>
          </cell>
          <cell r="CR14">
            <v>2.1561743341404358</v>
          </cell>
          <cell r="CS14">
            <v>2.1151543081893984</v>
          </cell>
          <cell r="CT14">
            <v>2.1332616872649113</v>
          </cell>
          <cell r="CU14">
            <v>1.8592041755932351</v>
          </cell>
          <cell r="CV14">
            <v>2.1375327150358423</v>
          </cell>
        </row>
        <row r="15">
          <cell r="AH15">
            <v>115.11695194768824</v>
          </cell>
          <cell r="AI15">
            <v>112.960656</v>
          </cell>
          <cell r="AR15">
            <v>0.28054424794853228</v>
          </cell>
          <cell r="CP15">
            <v>1.9304964539007092</v>
          </cell>
          <cell r="CQ15">
            <v>2.1210106382978724</v>
          </cell>
          <cell r="CR15">
            <v>2.1929046563192904</v>
          </cell>
          <cell r="CS15">
            <v>2.0532090309487567</v>
          </cell>
          <cell r="CT15">
            <v>1.9137809187279153</v>
          </cell>
          <cell r="CU15">
            <v>1.9597327469872696</v>
          </cell>
          <cell r="CV15">
            <v>1.9847908510419692</v>
          </cell>
        </row>
        <row r="16">
          <cell r="AQ16">
            <v>2.5865198925296928E-2</v>
          </cell>
          <cell r="CP16">
            <v>1.8685686015831133</v>
          </cell>
          <cell r="CQ16">
            <v>1.9460951453157975</v>
          </cell>
          <cell r="CR16">
            <v>1.9032159264931086</v>
          </cell>
          <cell r="CS16">
            <v>1.9049894758327723</v>
          </cell>
          <cell r="CT16">
            <v>1.9336471972929232</v>
          </cell>
        </row>
        <row r="17">
          <cell r="AH17">
            <v>317.69449719186508</v>
          </cell>
          <cell r="AI17">
            <v>312.57934283476703</v>
          </cell>
          <cell r="AR17">
            <v>4.0016541008747408E-2</v>
          </cell>
          <cell r="CP17">
            <v>1.9748076923076925</v>
          </cell>
          <cell r="CQ17">
            <v>2.0080948795180724</v>
          </cell>
          <cell r="CR17">
            <v>2.008019960791303</v>
          </cell>
          <cell r="CS17">
            <v>2.0038029798061125</v>
          </cell>
          <cell r="CT17">
            <v>1.9936622130866739</v>
          </cell>
          <cell r="CU17">
            <v>1.993933441747576</v>
          </cell>
          <cell r="CV17">
            <v>2.0043797031302213</v>
          </cell>
        </row>
        <row r="18">
          <cell r="AH18">
            <v>164.74931954924779</v>
          </cell>
          <cell r="AI18">
            <v>170.73919842141814</v>
          </cell>
          <cell r="AR18">
            <v>0.12398504687116407</v>
          </cell>
          <cell r="CP18">
            <v>1.9908130454754249</v>
          </cell>
          <cell r="CQ18">
            <v>2.0216802168021681</v>
          </cell>
          <cell r="CR18">
            <v>2.0391578947368423</v>
          </cell>
          <cell r="CS18">
            <v>2.0289039658432615</v>
          </cell>
          <cell r="CT18">
            <v>2.0256555553556757</v>
          </cell>
          <cell r="CU18">
            <v>2.0248057321982045</v>
          </cell>
          <cell r="CV18">
            <v>2.0460930048214077</v>
          </cell>
        </row>
        <row r="19">
          <cell r="AH19">
            <v>476.14159894725168</v>
          </cell>
          <cell r="AI19">
            <v>457.79520200000002</v>
          </cell>
          <cell r="AR19">
            <v>0.27999109831661739</v>
          </cell>
          <cell r="CP19">
            <v>2.1284265865565155</v>
          </cell>
          <cell r="CQ19">
            <v>2.0438489646772231</v>
          </cell>
          <cell r="CR19">
            <v>2.2083557951482478</v>
          </cell>
          <cell r="CS19">
            <v>2.0678318476826543</v>
          </cell>
          <cell r="CT19">
            <v>1.9173766972670689</v>
          </cell>
          <cell r="CU19">
            <v>1.9638780257379187</v>
          </cell>
          <cell r="CV19">
            <v>1.9699370870584412</v>
          </cell>
        </row>
        <row r="20">
          <cell r="AH20">
            <v>1547.6740553184836</v>
          </cell>
          <cell r="AI20">
            <v>1526.9621037311294</v>
          </cell>
          <cell r="AR20">
            <v>0.12161452134361772</v>
          </cell>
          <cell r="CP20">
            <v>2.0336580343707933</v>
          </cell>
          <cell r="CQ20">
            <v>2.078636493025904</v>
          </cell>
          <cell r="CR20">
            <v>2.0756149407834803</v>
          </cell>
          <cell r="CS20">
            <v>2.0525304395538742</v>
          </cell>
          <cell r="CT20">
            <v>2.0740416848855849</v>
          </cell>
          <cell r="CU20">
            <v>2.0637744146517378</v>
          </cell>
          <cell r="CV20">
            <v>2.0351215332739714</v>
          </cell>
        </row>
        <row r="21">
          <cell r="AQ21">
            <v>0.13419115542472926</v>
          </cell>
          <cell r="CP21">
            <v>2.0271760709401332</v>
          </cell>
          <cell r="CQ21">
            <v>2.0538975142788192</v>
          </cell>
          <cell r="CR21">
            <v>2.0765597812577679</v>
          </cell>
          <cell r="CS21">
            <v>2.0444757128567814</v>
          </cell>
          <cell r="CT21">
            <v>2.030633642319251</v>
          </cell>
        </row>
        <row r="22">
          <cell r="AH22">
            <v>857.40038673919526</v>
          </cell>
          <cell r="AI22">
            <v>871.44629202044075</v>
          </cell>
          <cell r="AR22">
            <v>9.545682748074924E-2</v>
          </cell>
          <cell r="CP22">
            <v>2.2031636715807599</v>
          </cell>
          <cell r="CQ22">
            <v>2.132808103545301</v>
          </cell>
          <cell r="CR22">
            <v>2.1851241103975005</v>
          </cell>
          <cell r="CS22">
            <v>2.176783444171813</v>
          </cell>
          <cell r="CT22">
            <v>2.2119424692954106</v>
          </cell>
          <cell r="CU22">
            <v>2.1096929259722721</v>
          </cell>
          <cell r="CV22">
            <v>2.182055939218511</v>
          </cell>
        </row>
        <row r="23">
          <cell r="AH23">
            <v>173.03731985021278</v>
          </cell>
          <cell r="AI23">
            <v>173.26850355052864</v>
          </cell>
          <cell r="AR23">
            <v>0.11571551633834121</v>
          </cell>
          <cell r="CP23">
            <v>2.1355088495575223</v>
          </cell>
          <cell r="CQ23">
            <v>2.1121404193076549</v>
          </cell>
          <cell r="CR23">
            <v>2.1396454820579334</v>
          </cell>
          <cell r="CS23">
            <v>2.116203974261988</v>
          </cell>
          <cell r="CT23">
            <v>2.0727752639517347</v>
          </cell>
          <cell r="CU23">
            <v>2.0958727644298905</v>
          </cell>
          <cell r="CV23">
            <v>2.1392001649542993</v>
          </cell>
        </row>
        <row r="24">
          <cell r="AH24">
            <v>534.47982665744428</v>
          </cell>
          <cell r="AI24">
            <v>539.82779464356815</v>
          </cell>
          <cell r="AR24">
            <v>0.11010081657366033</v>
          </cell>
          <cell r="CP24">
            <v>2.1173092698933553</v>
          </cell>
          <cell r="CQ24">
            <v>2.1470428648941944</v>
          </cell>
          <cell r="CR24">
            <v>2.0364185979559521</v>
          </cell>
          <cell r="CS24">
            <v>1.889582517238658</v>
          </cell>
          <cell r="CT24">
            <v>1.8233099209833188</v>
          </cell>
          <cell r="CU24">
            <v>1.9604625069023627</v>
          </cell>
          <cell r="CV24">
            <v>1.9493089452302521</v>
          </cell>
        </row>
        <row r="25">
          <cell r="AH25">
            <v>310.50376453434887</v>
          </cell>
          <cell r="AI25">
            <v>317.78065661455537</v>
          </cell>
          <cell r="AR25">
            <v>6.1271527512106072E-2</v>
          </cell>
          <cell r="CP25">
            <v>2.0013357079252003</v>
          </cell>
          <cell r="CQ25">
            <v>2.0466623460790667</v>
          </cell>
          <cell r="CR25">
            <v>2.0272957691557809</v>
          </cell>
          <cell r="CS25">
            <v>2.041622542718776</v>
          </cell>
          <cell r="CT25">
            <v>2.0652515723270439</v>
          </cell>
          <cell r="CU25">
            <v>2.0624211606035847</v>
          </cell>
          <cell r="CV25">
            <v>2.0415588586421798</v>
          </cell>
        </row>
        <row r="26">
          <cell r="AH26">
            <v>39.730621326723373</v>
          </cell>
          <cell r="AI26">
            <v>39.551956241473093</v>
          </cell>
          <cell r="AR26">
            <v>5.1502833158881822E-2</v>
          </cell>
          <cell r="CP26">
            <v>2.0020661157024793</v>
          </cell>
          <cell r="CQ26">
            <v>1.9981132075471699</v>
          </cell>
          <cell r="CR26">
            <v>2</v>
          </cell>
          <cell r="CS26">
            <v>2.0229752195134911</v>
          </cell>
          <cell r="CT26">
            <v>1.9882697947214079</v>
          </cell>
          <cell r="CU26">
            <v>2.0147091854497265</v>
          </cell>
          <cell r="CV26">
            <v>1.9939349569558338</v>
          </cell>
        </row>
        <row r="27">
          <cell r="AH27">
            <v>-132.70797893348399</v>
          </cell>
          <cell r="AI27">
            <v>-112.648731</v>
          </cell>
          <cell r="AR27">
            <v>1.9073451166945254E-2</v>
          </cell>
          <cell r="CP27">
            <v>2.1567164179104479</v>
          </cell>
          <cell r="CQ27">
            <v>2.1761627906976746</v>
          </cell>
          <cell r="CR27">
            <v>1.9627906976744187</v>
          </cell>
          <cell r="CS27">
            <v>1.9437513203096466</v>
          </cell>
          <cell r="CT27">
            <v>1.9296279695203942</v>
          </cell>
          <cell r="CU27">
            <v>1.9390086093695535</v>
          </cell>
          <cell r="CV27">
            <v>1.953280072435928</v>
          </cell>
        </row>
        <row r="28">
          <cell r="AQ28">
            <v>9.820876420027802E-2</v>
          </cell>
          <cell r="CP28">
            <v>2.1275684494977818</v>
          </cell>
          <cell r="CQ28">
            <v>2.1093584244269175</v>
          </cell>
          <cell r="CR28">
            <v>2.1190156052642304</v>
          </cell>
          <cell r="CS28">
            <v>2.0693364655474724</v>
          </cell>
          <cell r="CT28">
            <v>2.0609487336970269</v>
          </cell>
        </row>
        <row r="29">
          <cell r="AH29">
            <v>50.150264142888609</v>
          </cell>
          <cell r="AI29">
            <v>49.696868566613162</v>
          </cell>
          <cell r="AR29">
            <v>3.1949843931855071E-2</v>
          </cell>
          <cell r="CP29">
            <v>2.0287009063444112</v>
          </cell>
          <cell r="CQ29">
            <v>2.0324483775811211</v>
          </cell>
          <cell r="CR29">
            <v>2.0664010624169986</v>
          </cell>
          <cell r="CS29">
            <v>2.0069770460328309</v>
          </cell>
          <cell r="CT29">
            <v>2.0319148936170213</v>
          </cell>
          <cell r="CU29">
            <v>2.0347892216085604</v>
          </cell>
          <cell r="CV29">
            <v>2.032409426618353</v>
          </cell>
        </row>
        <row r="30">
          <cell r="AH30">
            <v>167.46069866711787</v>
          </cell>
          <cell r="AI30">
            <v>184.96961777749993</v>
          </cell>
          <cell r="AR30">
            <v>9.8822940241576118E-2</v>
          </cell>
          <cell r="CP30">
            <v>2.0698351115421922</v>
          </cell>
          <cell r="CQ30">
            <v>2.0644567219152856</v>
          </cell>
          <cell r="CR30">
            <v>2.0764872521246462</v>
          </cell>
          <cell r="CS30">
            <v>2.0419224853547449</v>
          </cell>
          <cell r="CT30">
            <v>1.999652536483669</v>
          </cell>
          <cell r="CU30">
            <v>1.9880434648638186</v>
          </cell>
          <cell r="CV30">
            <v>2.0675000872996474</v>
          </cell>
        </row>
        <row r="31">
          <cell r="AH31">
            <v>374.9561578479325</v>
          </cell>
          <cell r="AI31">
            <v>374.33719553571427</v>
          </cell>
          <cell r="AR31">
            <v>5.6248744886313151E-2</v>
          </cell>
          <cell r="CP31">
            <v>2.1098306268552469</v>
          </cell>
          <cell r="CQ31">
            <v>2.1307732226258431</v>
          </cell>
          <cell r="CR31">
            <v>2.0721263432106807</v>
          </cell>
          <cell r="CS31">
            <v>2.0683384166390058</v>
          </cell>
          <cell r="CT31">
            <v>2.0368698269375471</v>
          </cell>
          <cell r="CU31">
            <v>2.07056627773584</v>
          </cell>
          <cell r="CV31">
            <v>2.0695216037418009</v>
          </cell>
        </row>
        <row r="32">
          <cell r="AH32">
            <v>15.915578558324516</v>
          </cell>
          <cell r="AI32">
            <v>15.750334630963552</v>
          </cell>
          <cell r="AR32">
            <v>0.18288805339141101</v>
          </cell>
          <cell r="CP32">
            <v>2.1221374045801524</v>
          </cell>
          <cell r="CQ32">
            <v>2.0372670807453415</v>
          </cell>
          <cell r="CR32">
            <v>2.0486486486486486</v>
          </cell>
          <cell r="CS32">
            <v>1.9738556966877494</v>
          </cell>
          <cell r="CT32">
            <v>1.9063804509653504</v>
          </cell>
          <cell r="CU32">
            <v>1.8994457964375548</v>
          </cell>
          <cell r="CV32">
            <v>1.9329846843481511</v>
          </cell>
        </row>
        <row r="33">
          <cell r="AH33">
            <v>568.29999999999995</v>
          </cell>
          <cell r="AI33">
            <v>575.9</v>
          </cell>
          <cell r="AR33">
            <v>5.9182590970565663E-2</v>
          </cell>
          <cell r="CP33">
            <v>2.0253466527508572</v>
          </cell>
          <cell r="CQ33">
            <v>2.0288864080379576</v>
          </cell>
          <cell r="CR33">
            <v>2.0347780949909162</v>
          </cell>
          <cell r="CS33">
            <v>2.0366512717785845</v>
          </cell>
          <cell r="CT33">
            <v>2.0363929146537845</v>
          </cell>
          <cell r="CU33">
            <v>2.0240650926979318</v>
          </cell>
          <cell r="CV33">
            <v>2.0239292693380433</v>
          </cell>
        </row>
        <row r="34">
          <cell r="AH34">
            <v>30.473140665002351</v>
          </cell>
          <cell r="AI34">
            <v>32.126434999999994</v>
          </cell>
          <cell r="AR34">
            <v>4.3239324472999829E-2</v>
          </cell>
          <cell r="CP34">
            <v>1.9980879541108987</v>
          </cell>
          <cell r="CQ34">
            <v>2.0384615384615383</v>
          </cell>
          <cell r="CR34">
            <v>2.0179211469534049</v>
          </cell>
          <cell r="CS34">
            <v>2.0231198164813833</v>
          </cell>
          <cell r="CT34">
            <v>2.0141307733695806</v>
          </cell>
          <cell r="CU34">
            <v>1.9833894288559946</v>
          </cell>
          <cell r="CV34">
            <v>1.9910190817431883</v>
          </cell>
        </row>
        <row r="35">
          <cell r="AH35">
            <v>614.68871922332687</v>
          </cell>
          <cell r="AI35">
            <v>623.7767696309636</v>
          </cell>
          <cell r="AR35">
            <v>6.120044424647153E-2</v>
          </cell>
          <cell r="CP35">
            <v>2.0251324548295067</v>
          </cell>
          <cell r="CQ35">
            <v>2.029721834116601</v>
          </cell>
          <cell r="CR35">
            <v>2.0339685169842587</v>
          </cell>
          <cell r="CS35">
            <v>2.0342601184295579</v>
          </cell>
          <cell r="CT35">
            <v>2.0320701661456497</v>
          </cell>
          <cell r="CU35">
            <v>2.0191047086490488</v>
          </cell>
          <cell r="CV35">
            <v>2.0201510314110376</v>
          </cell>
        </row>
        <row r="36">
          <cell r="AP36">
            <v>5.6095509056288684E-2</v>
          </cell>
          <cell r="CP36">
            <v>2.0617885150518593</v>
          </cell>
          <cell r="CQ36">
            <v>2.0698012603005331</v>
          </cell>
          <cell r="CR36">
            <v>2.0543923659837215</v>
          </cell>
          <cell r="CS36">
            <v>2.0455517641693404</v>
          </cell>
          <cell r="CT36">
            <v>2.0290667806324136</v>
          </cell>
        </row>
        <row r="41">
          <cell r="AH41">
            <v>344.26557478126921</v>
          </cell>
          <cell r="AI41">
            <v>437.45073281577328</v>
          </cell>
          <cell r="AR41">
            <v>0.11129008932369211</v>
          </cell>
          <cell r="CP41">
            <v>2.1333010179350462</v>
          </cell>
          <cell r="CQ41">
            <v>2.2032197853476432</v>
          </cell>
          <cell r="CR41">
            <v>2.2158779820101682</v>
          </cell>
          <cell r="CS41">
            <v>2.172612027756931</v>
          </cell>
          <cell r="CT41">
            <v>2.3098848894573365</v>
          </cell>
          <cell r="CU41">
            <v>2.593151499813696</v>
          </cell>
          <cell r="CV41">
            <v>2.3011484474691617</v>
          </cell>
        </row>
        <row r="42">
          <cell r="AD42">
            <v>5576.558404532072</v>
          </cell>
          <cell r="AE42">
            <v>5720.477302386973</v>
          </cell>
          <cell r="AF42">
            <v>11297.035706919045</v>
          </cell>
          <cell r="AP42">
            <v>6.6272255108752898E-2</v>
          </cell>
          <cell r="CP42">
            <v>2.0563545297442958</v>
          </cell>
          <cell r="CQ42">
            <v>2.0735045991400423</v>
          </cell>
          <cell r="CR42">
            <v>2.0793301120942518</v>
          </cell>
          <cell r="CS42">
            <v>2.0485280837568167</v>
          </cell>
          <cell r="CT42">
            <v>2.0482042883301319</v>
          </cell>
          <cell r="CU42">
            <v>2.0640424779177633</v>
          </cell>
          <cell r="CV42">
            <v>2.0600068137300256</v>
          </cell>
        </row>
      </sheetData>
      <sheetData sheetId="5">
        <row r="17">
          <cell r="O17">
            <v>1243.3948</v>
          </cell>
        </row>
        <row r="22">
          <cell r="O22">
            <v>8841.5673871036888</v>
          </cell>
        </row>
        <row r="29">
          <cell r="O29">
            <v>6882.84144410094</v>
          </cell>
        </row>
        <row r="37">
          <cell r="O37">
            <v>4685.4669000000004</v>
          </cell>
        </row>
        <row r="42">
          <cell r="O42">
            <v>1618.6999999999998</v>
          </cell>
        </row>
        <row r="43">
          <cell r="O43">
            <v>23271.970531204628</v>
          </cell>
        </row>
      </sheetData>
      <sheetData sheetId="6"/>
      <sheetData sheetId="7"/>
      <sheetData sheetId="8">
        <row r="14">
          <cell r="G14">
            <v>10</v>
          </cell>
          <cell r="I14">
            <v>11</v>
          </cell>
        </row>
        <row r="18">
          <cell r="I18">
            <v>8.5</v>
          </cell>
        </row>
        <row r="19">
          <cell r="I19">
            <v>8</v>
          </cell>
        </row>
        <row r="21">
          <cell r="I21">
            <v>9.5</v>
          </cell>
        </row>
        <row r="26">
          <cell r="I26">
            <v>9</v>
          </cell>
        </row>
        <row r="27">
          <cell r="I27">
            <v>9</v>
          </cell>
        </row>
        <row r="28">
          <cell r="I28">
            <v>7.7</v>
          </cell>
        </row>
        <row r="29">
          <cell r="I29">
            <v>9.0500000000000007</v>
          </cell>
          <cell r="J29">
            <v>9.0500000000000007</v>
          </cell>
        </row>
        <row r="30">
          <cell r="I30">
            <v>6.5</v>
          </cell>
        </row>
        <row r="31">
          <cell r="I31">
            <v>10</v>
          </cell>
        </row>
        <row r="32">
          <cell r="I32">
            <v>7.5</v>
          </cell>
        </row>
        <row r="35">
          <cell r="I35">
            <v>10</v>
          </cell>
        </row>
        <row r="36">
          <cell r="I36">
            <v>10</v>
          </cell>
        </row>
        <row r="44">
          <cell r="G44">
            <v>8</v>
          </cell>
          <cell r="I44">
            <v>9.3000000000000007</v>
          </cell>
        </row>
        <row r="45">
          <cell r="I45">
            <v>9.5</v>
          </cell>
        </row>
        <row r="49">
          <cell r="I49">
            <v>9</v>
          </cell>
          <cell r="J49">
            <v>7.5</v>
          </cell>
        </row>
        <row r="50">
          <cell r="I50">
            <v>9.1999999999999993</v>
          </cell>
        </row>
        <row r="57">
          <cell r="I57">
            <v>10</v>
          </cell>
        </row>
        <row r="61">
          <cell r="I61">
            <v>8</v>
          </cell>
        </row>
        <row r="68">
          <cell r="AB68">
            <v>4</v>
          </cell>
          <cell r="AG68">
            <v>4</v>
          </cell>
          <cell r="AL68">
            <v>4</v>
          </cell>
        </row>
        <row r="69">
          <cell r="AB69">
            <v>7.5</v>
          </cell>
          <cell r="AG69">
            <v>7.5</v>
          </cell>
          <cell r="AL69">
            <v>7.5</v>
          </cell>
        </row>
        <row r="70">
          <cell r="AB70">
            <v>5.99</v>
          </cell>
          <cell r="AG70">
            <v>5.8624999999999998</v>
          </cell>
          <cell r="AL70">
            <v>6.1</v>
          </cell>
        </row>
      </sheetData>
      <sheetData sheetId="9"/>
      <sheetData sheetId="10"/>
      <sheetData sheetId="11">
        <row r="10">
          <cell r="AJ10">
            <v>-0.10145934676858925</v>
          </cell>
          <cell r="AL10">
            <v>6.8018651223685112E-2</v>
          </cell>
          <cell r="AM10">
            <v>1.875193960222183E-2</v>
          </cell>
        </row>
        <row r="11">
          <cell r="AJ11">
            <v>-3.687530325084909E-2</v>
          </cell>
          <cell r="AL11">
            <v>-0.21884043435609124</v>
          </cell>
          <cell r="AM11">
            <v>-3.5687285431029496E-2</v>
          </cell>
        </row>
        <row r="12">
          <cell r="AJ12">
            <v>4.5559845559845602E-2</v>
          </cell>
          <cell r="AL12">
            <v>0.21592639039561279</v>
          </cell>
          <cell r="AM12">
            <v>0.16677764970086309</v>
          </cell>
        </row>
        <row r="14">
          <cell r="AJ14">
            <v>-5.9783072849944885E-3</v>
          </cell>
          <cell r="AL14">
            <v>3.2293702727967943E-2</v>
          </cell>
          <cell r="AM14">
            <v>1.6996528014536594E-2</v>
          </cell>
        </row>
        <row r="15">
          <cell r="AJ15">
            <v>7.4766355140186924E-2</v>
          </cell>
          <cell r="AL15">
            <v>6.1742597171308145E-2</v>
          </cell>
          <cell r="AM15">
            <v>5.5157835231216007E-2</v>
          </cell>
        </row>
        <row r="16">
          <cell r="AJ16">
            <v>4.6232558139534863E-2</v>
          </cell>
          <cell r="AL16">
            <v>0.1919561540287853</v>
          </cell>
          <cell r="AM16">
            <v>0.13813989304030863</v>
          </cell>
        </row>
        <row r="17">
          <cell r="AJ17">
            <v>8.1909878858533069E-2</v>
          </cell>
          <cell r="AL17">
            <v>0.14083850981682366</v>
          </cell>
          <cell r="AM17">
            <v>0.12180689086900812</v>
          </cell>
        </row>
        <row r="19">
          <cell r="AJ19">
            <v>1.5694568121104258E-2</v>
          </cell>
          <cell r="AL19">
            <v>0.14429152053506433</v>
          </cell>
          <cell r="AM19">
            <v>7.2922852502018173E-2</v>
          </cell>
        </row>
        <row r="20">
          <cell r="AJ20">
            <v>2.5751072961373467E-2</v>
          </cell>
          <cell r="AL20">
            <v>9.3829763750212125E-2</v>
          </cell>
          <cell r="AM20">
            <v>9.8632076322198239E-2</v>
          </cell>
        </row>
        <row r="21">
          <cell r="AJ21">
            <v>2.898550724637694E-2</v>
          </cell>
          <cell r="AL21">
            <v>7.5160719246197383E-2</v>
          </cell>
          <cell r="AM21">
            <v>5.6345792311559964E-2</v>
          </cell>
        </row>
        <row r="22">
          <cell r="AJ22">
            <v>-2.4054982817869552E-2</v>
          </cell>
          <cell r="AL22">
            <v>9.0431062607446044E-2</v>
          </cell>
          <cell r="AM22">
            <v>5.7578954900528584E-2</v>
          </cell>
        </row>
        <row r="23">
          <cell r="AJ23">
            <v>0.11330049261083741</v>
          </cell>
          <cell r="AL23">
            <v>4.7553384068463211E-2</v>
          </cell>
          <cell r="AM23">
            <v>6.1976994963137105E-2</v>
          </cell>
        </row>
        <row r="24">
          <cell r="AJ24">
            <v>6.585788561525141E-2</v>
          </cell>
          <cell r="AL24">
            <v>5.2834656016842452E-2</v>
          </cell>
          <cell r="AM24">
            <v>2.4549770824181513E-2</v>
          </cell>
        </row>
        <row r="26">
          <cell r="AJ26">
            <v>4.8810250152532042E-2</v>
          </cell>
          <cell r="AL26">
            <v>4.2486180845249244E-2</v>
          </cell>
          <cell r="AM26">
            <v>5.8000352065641414E-2</v>
          </cell>
        </row>
        <row r="27">
          <cell r="AJ27">
            <v>4.9607878898413338E-2</v>
          </cell>
          <cell r="AL27">
            <v>8.8698505442489806E-2</v>
          </cell>
          <cell r="AM27">
            <v>6.0396394392206933E-2</v>
          </cell>
        </row>
        <row r="28">
          <cell r="AJ28">
            <v>2.4602573807721351E-2</v>
          </cell>
          <cell r="AL28">
            <v>5.360987512559201E-2</v>
          </cell>
          <cell r="AM28">
            <v>2.6620699446315024E-2</v>
          </cell>
        </row>
        <row r="29">
          <cell r="AJ29">
            <v>8.8300220750552327E-3</v>
          </cell>
          <cell r="AL29">
            <v>0.11424295604052492</v>
          </cell>
          <cell r="AM29">
            <v>7.2076330839000183E-2</v>
          </cell>
        </row>
        <row r="30">
          <cell r="AJ30">
            <v>0.10355459887137131</v>
          </cell>
          <cell r="AL30">
            <v>7.0470356777592169E-2</v>
          </cell>
          <cell r="AM30">
            <v>7.0729259609110487E-2</v>
          </cell>
        </row>
        <row r="31">
          <cell r="AJ31">
            <v>-7.8465562336530459E-3</v>
          </cell>
          <cell r="AL31">
            <v>3.4375549239095582E-2</v>
          </cell>
          <cell r="AM31">
            <v>3.5484324468733175E-2</v>
          </cell>
        </row>
        <row r="32">
          <cell r="AJ32">
            <v>9.4470168715737879E-2</v>
          </cell>
          <cell r="AL32">
            <v>6.9501312583614139E-2</v>
          </cell>
          <cell r="AM32">
            <v>6.862459100978921E-2</v>
          </cell>
        </row>
        <row r="33">
          <cell r="AM33">
            <v>5.19459648145447E-2</v>
          </cell>
        </row>
        <row r="34">
          <cell r="AJ34">
            <v>-4.1643835616438363E-2</v>
          </cell>
          <cell r="AL34">
            <v>0.17010132621627871</v>
          </cell>
          <cell r="AM34">
            <v>7.9089760256275926E-2</v>
          </cell>
        </row>
        <row r="35">
          <cell r="AJ35">
            <v>9.1734786557674974E-2</v>
          </cell>
          <cell r="AL35">
            <v>0.20588750165891945</v>
          </cell>
          <cell r="AM35">
            <v>0.14299688986941511</v>
          </cell>
        </row>
        <row r="36">
          <cell r="AJ36">
            <v>4.4923076923077065E-2</v>
          </cell>
          <cell r="AL36">
            <v>0.11384875707441178</v>
          </cell>
          <cell r="AM36">
            <v>7.6586793602265127E-2</v>
          </cell>
        </row>
        <row r="37">
          <cell r="AJ37">
            <v>-0.26235294117647057</v>
          </cell>
          <cell r="AL37">
            <v>5.6460889754257115E-2</v>
          </cell>
          <cell r="AM37">
            <v>0.1225194393721781</v>
          </cell>
        </row>
        <row r="39">
          <cell r="AL39">
            <v>0.1084928406872232</v>
          </cell>
        </row>
      </sheetData>
      <sheetData sheetId="12">
        <row r="14">
          <cell r="L14">
            <v>706.39211544954992</v>
          </cell>
        </row>
        <row r="15">
          <cell r="L15">
            <v>136.55252046310378</v>
          </cell>
        </row>
        <row r="16">
          <cell r="L16">
            <v>459.87243791883503</v>
          </cell>
        </row>
        <row r="18">
          <cell r="L18">
            <v>1255.6281346565049</v>
          </cell>
        </row>
        <row r="19">
          <cell r="L19">
            <v>677.45713622650635</v>
          </cell>
        </row>
        <row r="20">
          <cell r="L20">
            <v>1902.2146326074801</v>
          </cell>
        </row>
        <row r="21">
          <cell r="L21">
            <v>6312.1304056978479</v>
          </cell>
        </row>
        <row r="23">
          <cell r="L23">
            <v>3743.3584220308762</v>
          </cell>
        </row>
        <row r="24">
          <cell r="L24">
            <v>730.58511327025087</v>
          </cell>
        </row>
        <row r="25">
          <cell r="L25">
            <v>2130.5488990281356</v>
          </cell>
        </row>
        <row r="26">
          <cell r="L26">
            <v>1278.4622371386458</v>
          </cell>
        </row>
        <row r="27">
          <cell r="L27">
            <v>158.32312946995083</v>
          </cell>
        </row>
        <row r="28">
          <cell r="L28">
            <v>-491.40667686445676</v>
          </cell>
        </row>
        <row r="30">
          <cell r="L30">
            <v>202.42682965267059</v>
          </cell>
        </row>
        <row r="31">
          <cell r="L31">
            <v>718.23332946725714</v>
          </cell>
        </row>
        <row r="32">
          <cell r="L32">
            <v>1553.713180672306</v>
          </cell>
        </row>
        <row r="33">
          <cell r="L33">
            <v>62.787064274090405</v>
          </cell>
        </row>
        <row r="34">
          <cell r="L34">
            <v>2315.8691107301374</v>
          </cell>
        </row>
        <row r="35">
          <cell r="L35">
            <v>125.4187528358886</v>
          </cell>
        </row>
        <row r="42">
          <cell r="L42">
            <v>1773.6155516338633</v>
          </cell>
        </row>
      </sheetData>
      <sheetData sheetId="13"/>
      <sheetData sheetId="14"/>
      <sheetData sheetId="15"/>
      <sheetData sheetId="16">
        <row r="17">
          <cell r="G17">
            <v>1255.6281346565049</v>
          </cell>
          <cell r="K17">
            <v>1296.177016373975</v>
          </cell>
          <cell r="N17">
            <v>1276.9694534230346</v>
          </cell>
          <cell r="Q17">
            <v>1248.1216038318439</v>
          </cell>
        </row>
        <row r="42">
          <cell r="K42">
            <v>28521.627822336774</v>
          </cell>
          <cell r="N42">
            <v>27734.651600513702</v>
          </cell>
          <cell r="Q42">
            <v>26728.840462112963</v>
          </cell>
        </row>
        <row r="43">
          <cell r="G43">
            <v>25752.182326359442</v>
          </cell>
        </row>
      </sheetData>
      <sheetData sheetId="17"/>
      <sheetData sheetId="18"/>
      <sheetData sheetId="19"/>
      <sheetData sheetId="20"/>
      <sheetData sheetId="21"/>
      <sheetData sheetId="22"/>
      <sheetData sheetId="23"/>
      <sheetData sheetId="24">
        <row r="19">
          <cell r="F19">
            <v>2.3443464982300322</v>
          </cell>
          <cell r="H19">
            <v>1.7827949547141397</v>
          </cell>
          <cell r="J19">
            <v>1.4329266422529408</v>
          </cell>
        </row>
        <row r="20">
          <cell r="F20">
            <v>1.0167460734611611</v>
          </cell>
          <cell r="H20">
            <v>0.71457881470191609</v>
          </cell>
          <cell r="J20">
            <v>0.31991001396958207</v>
          </cell>
        </row>
        <row r="21">
          <cell r="F21">
            <v>4.0534643272759796</v>
          </cell>
          <cell r="H21">
            <v>3.4683864058343783</v>
          </cell>
          <cell r="J21">
            <v>3.1931182484568055</v>
          </cell>
        </row>
        <row r="22">
          <cell r="F22">
            <v>5.4790543119996205</v>
          </cell>
          <cell r="H22">
            <v>4.9845866522658877</v>
          </cell>
          <cell r="J22">
            <v>5.058854455705819</v>
          </cell>
        </row>
        <row r="23">
          <cell r="F23">
            <v>7.5785921466475781</v>
          </cell>
          <cell r="H23">
            <v>6.594366363212556</v>
          </cell>
          <cell r="J23">
            <v>5.9323306180322</v>
          </cell>
        </row>
        <row r="24">
          <cell r="F24">
            <v>6.0823169287048007</v>
          </cell>
          <cell r="H24">
            <v>4.2506132625568238</v>
          </cell>
          <cell r="J24">
            <v>2.8968999653568694</v>
          </cell>
        </row>
        <row r="25">
          <cell r="F25">
            <v>5.4883550568623374</v>
          </cell>
          <cell r="H25">
            <v>4.4399012498071322</v>
          </cell>
          <cell r="J25">
            <v>3.7294741191534087</v>
          </cell>
        </row>
        <row r="26">
          <cell r="F26">
            <v>7.4106224143698718</v>
          </cell>
          <cell r="H26">
            <v>6.6297322253001001</v>
          </cell>
          <cell r="J26">
            <v>6.1875442599732322</v>
          </cell>
        </row>
        <row r="27">
          <cell r="F27">
            <v>6.2094440633599035</v>
          </cell>
          <cell r="H27">
            <v>5.3221337028056759</v>
          </cell>
          <cell r="J27">
            <v>4.8095180756370315</v>
          </cell>
        </row>
        <row r="28">
          <cell r="F28">
            <v>5.8664578175514848</v>
          </cell>
          <cell r="H28">
            <v>5.0342854323910835</v>
          </cell>
          <cell r="J28">
            <v>4.512374564205901</v>
          </cell>
        </row>
        <row r="29">
          <cell r="F29">
            <v>3.7469584668569311</v>
          </cell>
          <cell r="H29">
            <v>2.6160674447549548</v>
          </cell>
          <cell r="J29">
            <v>1.9097508487546655</v>
          </cell>
        </row>
        <row r="30">
          <cell r="F30">
            <v>5.1553708115780417</v>
          </cell>
          <cell r="H30">
            <v>3.8458017712886372</v>
          </cell>
          <cell r="J30">
            <v>3.2451045469631623</v>
          </cell>
        </row>
        <row r="31">
          <cell r="F31">
            <v>5.8722200797017621</v>
          </cell>
          <cell r="H31">
            <v>4.350173544157343</v>
          </cell>
          <cell r="J31">
            <v>3.7466547725245158</v>
          </cell>
        </row>
        <row r="32">
          <cell r="F32">
            <v>7.0296753199446504</v>
          </cell>
          <cell r="H32">
            <v>6.046270973464396</v>
          </cell>
          <cell r="J32">
            <v>5.659873114731262</v>
          </cell>
        </row>
      </sheetData>
      <sheetData sheetId="25"/>
      <sheetData sheetId="26"/>
      <sheetData sheetId="27"/>
      <sheetData sheetId="28"/>
      <sheetData sheetId="29"/>
      <sheetData sheetId="30">
        <row r="21">
          <cell r="L21">
            <v>25752.182326359442</v>
          </cell>
          <cell r="N21">
            <v>25752.182326359442</v>
          </cell>
          <cell r="P21">
            <v>25752.182326359442</v>
          </cell>
        </row>
        <row r="22">
          <cell r="L22">
            <v>27734.651600513702</v>
          </cell>
          <cell r="N22">
            <v>28521.627822336774</v>
          </cell>
          <cell r="P22">
            <v>26728.840462112963</v>
          </cell>
        </row>
        <row r="23">
          <cell r="L23">
            <v>29395.957231384473</v>
          </cell>
          <cell r="N23">
            <v>30660.749909012029</v>
          </cell>
          <cell r="P23">
            <v>27797.994080597484</v>
          </cell>
        </row>
        <row r="24">
          <cell r="L24">
            <v>31119.295224074387</v>
          </cell>
          <cell r="N24">
            <v>32960.306152187928</v>
          </cell>
          <cell r="P24">
            <v>28909.913843821385</v>
          </cell>
        </row>
        <row r="25">
          <cell r="L25">
            <v>33017.572232742925</v>
          </cell>
          <cell r="N25">
            <v>35432.32911360202</v>
          </cell>
          <cell r="P25">
            <v>30066.310397574242</v>
          </cell>
        </row>
        <row r="26">
          <cell r="L26">
            <v>34668.450844380073</v>
          </cell>
          <cell r="N26">
            <v>37735.430505986151</v>
          </cell>
          <cell r="P26">
            <v>31193.797037483277</v>
          </cell>
        </row>
        <row r="27">
          <cell r="L27">
            <v>36401.87338659908</v>
          </cell>
          <cell r="N27">
            <v>40188.233488875252</v>
          </cell>
          <cell r="P27">
            <v>32363.564426388901</v>
          </cell>
        </row>
        <row r="28">
          <cell r="L28">
            <v>38221.967055929039</v>
          </cell>
          <cell r="N28">
            <v>42800.468665652144</v>
          </cell>
          <cell r="P28">
            <v>33577.198092378487</v>
          </cell>
        </row>
        <row r="29">
          <cell r="L29">
            <v>40133.065408725495</v>
          </cell>
          <cell r="N29">
            <v>45582.499128919531</v>
          </cell>
          <cell r="P29">
            <v>34836.34302084268</v>
          </cell>
        </row>
        <row r="30">
          <cell r="L30">
            <v>42139.718679161771</v>
          </cell>
          <cell r="N30">
            <v>48545.361572299298</v>
          </cell>
          <cell r="P30">
            <v>36142.705884124283</v>
          </cell>
        </row>
        <row r="31">
          <cell r="L31">
            <v>44246.704613119859</v>
          </cell>
          <cell r="N31">
            <v>51458.083266637259</v>
          </cell>
          <cell r="P31">
            <v>37407.700590068627</v>
          </cell>
        </row>
        <row r="32">
          <cell r="L32">
            <v>46459.039843775856</v>
          </cell>
          <cell r="N32">
            <v>54545.568262635497</v>
          </cell>
          <cell r="P32">
            <v>38716.970110721028</v>
          </cell>
        </row>
        <row r="33">
          <cell r="L33">
            <v>48781.991835964647</v>
          </cell>
          <cell r="N33">
            <v>57818.30235839363</v>
          </cell>
          <cell r="P33">
            <v>40072.064064596263</v>
          </cell>
        </row>
        <row r="34">
          <cell r="L34">
            <v>51221.091427762884</v>
          </cell>
          <cell r="N34">
            <v>61287.400499897252</v>
          </cell>
          <cell r="P34">
            <v>41474.586306857127</v>
          </cell>
        </row>
        <row r="35">
          <cell r="L35">
            <v>53782.145999151027</v>
          </cell>
          <cell r="N35">
            <v>64964.644529891091</v>
          </cell>
          <cell r="P35">
            <v>42926.196827597123</v>
          </cell>
        </row>
        <row r="36">
          <cell r="L36">
            <v>56471.253299108583</v>
          </cell>
          <cell r="N36">
            <v>68862.523201684555</v>
          </cell>
          <cell r="P36">
            <v>44428.613716563021</v>
          </cell>
        </row>
      </sheetData>
      <sheetData sheetId="31"/>
      <sheetData sheetId="32"/>
      <sheetData sheetId="33"/>
      <sheetData sheetId="34"/>
      <sheetData sheetId="35"/>
      <sheetData sheetId="36"/>
      <sheetData sheetId="37"/>
      <sheetData sheetId="38"/>
      <sheetData sheetId="39" refreshError="1"/>
      <sheetData sheetId="40"/>
      <sheetData sheetId="41"/>
      <sheetData sheetId="42"/>
      <sheetData sheetId="43"/>
      <sheetData sheetId="44"/>
      <sheetData sheetId="45"/>
      <sheetData sheetId="46"/>
      <sheetData sheetId="47"/>
      <sheetData sheetId="48">
        <row r="24">
          <cell r="U24">
            <v>-2.7700831024930483E-3</v>
          </cell>
          <cell r="X24">
            <v>1.1556240369799742E-2</v>
          </cell>
          <cell r="AA24">
            <v>2.8901734104047616E-3</v>
          </cell>
        </row>
        <row r="25">
          <cell r="U25">
            <v>3.9285714285714146E-2</v>
          </cell>
          <cell r="X25">
            <v>4.7600913937547507E-2</v>
          </cell>
          <cell r="AA25">
            <v>3.7875668999588274E-2</v>
          </cell>
        </row>
        <row r="26">
          <cell r="U26">
            <v>7.9037800687285387E-2</v>
          </cell>
          <cell r="X26">
            <v>9.4874591057797053E-2</v>
          </cell>
          <cell r="AA26">
            <v>6.7433558111860581E-2</v>
          </cell>
        </row>
        <row r="27">
          <cell r="U27">
            <v>3.2554847841472112E-2</v>
          </cell>
          <cell r="X27">
            <v>4.8140770252323994E-2</v>
          </cell>
          <cell r="AA27">
            <v>2.2668153102935573E-2</v>
          </cell>
        </row>
        <row r="28">
          <cell r="U28">
            <v>3.7011651816312607E-2</v>
          </cell>
          <cell r="X28">
            <v>4.5929680076021606E-2</v>
          </cell>
          <cell r="AA28">
            <v>3.1613372093023173E-2</v>
          </cell>
        </row>
        <row r="29">
          <cell r="U29">
            <v>4.1639127561136746E-2</v>
          </cell>
          <cell r="X29">
            <v>5.0575408843125391E-2</v>
          </cell>
          <cell r="AA29">
            <v>3.5575907009510521E-2</v>
          </cell>
        </row>
        <row r="30">
          <cell r="U30">
            <v>3.8388324873096513E-2</v>
          </cell>
          <cell r="X30">
            <v>4.8140674545978701E-2</v>
          </cell>
          <cell r="AA30">
            <v>3.2653061224489965E-2</v>
          </cell>
        </row>
        <row r="31">
          <cell r="U31">
            <v>4.1857622975863151E-2</v>
          </cell>
          <cell r="X31">
            <v>4.9779977997799651E-2</v>
          </cell>
          <cell r="AA31">
            <v>3.6231884057970953E-2</v>
          </cell>
        </row>
        <row r="32">
          <cell r="U32">
            <v>3.6950146627566127E-2</v>
          </cell>
          <cell r="X32">
            <v>4.5847524233691317E-2</v>
          </cell>
          <cell r="AA32">
            <v>3.115066751430362E-2</v>
          </cell>
        </row>
        <row r="33">
          <cell r="U33">
            <v>3.4219457013574539E-2</v>
          </cell>
          <cell r="X33">
            <v>4.8597194388777742E-2</v>
          </cell>
          <cell r="AA33">
            <v>2.9284833538840926E-2</v>
          </cell>
        </row>
        <row r="34">
          <cell r="U34">
            <v>3.0352748154224729E-2</v>
          </cell>
          <cell r="X34">
            <v>4.7061634018155774E-2</v>
          </cell>
          <cell r="AA34">
            <v>2.5456723569931228E-2</v>
          </cell>
        </row>
        <row r="35">
          <cell r="U35">
            <v>5.2016985138004124E-2</v>
          </cell>
          <cell r="X35">
            <v>5.544147843942504E-2</v>
          </cell>
          <cell r="AA35">
            <v>4.497663551401887E-2</v>
          </cell>
        </row>
        <row r="36">
          <cell r="U36">
            <v>3.4308779011099855E-2</v>
          </cell>
          <cell r="X36">
            <v>4.3450064850842907E-2</v>
          </cell>
          <cell r="AA36">
            <v>2.766908887646724E-2</v>
          </cell>
        </row>
        <row r="37">
          <cell r="U37">
            <v>3.7542500357029773E-2</v>
          </cell>
          <cell r="X37">
            <v>4.8071780695198463E-2</v>
          </cell>
          <cell r="AA37">
            <v>3.1684681858538788E-2</v>
          </cell>
        </row>
        <row r="38">
          <cell r="U38">
            <v>3.7542500357029773E-2</v>
          </cell>
          <cell r="X38">
            <v>4.8071780695198463E-2</v>
          </cell>
          <cell r="AA38">
            <v>3.1684681858538788E-2</v>
          </cell>
        </row>
      </sheetData>
      <sheetData sheetId="49"/>
      <sheetData sheetId="50"/>
      <sheetData sheetId="51"/>
      <sheetData sheetId="52"/>
      <sheetData sheetId="5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1-2008Contraloría Historico"/>
      <sheetName val="2001-08Contraloría Estruc. Hist"/>
      <sheetName val="PIB Estructural TRIM 2005-09"/>
      <sheetName val="Pronosticos Publicados 2009-10 "/>
      <sheetName val="PIB Mundial vs Panama"/>
      <sheetName val="PIB 2009 Estimado "/>
      <sheetName val="PIB 2009, tres metodologías (M)"/>
      <sheetName val="PIB Estructural 2009 Esti  (M)"/>
      <sheetName val="Variacion PIB por Act 2001-08"/>
      <sheetName val="Analisis IMAE 2008"/>
      <sheetName val="Analisis IMAE 2008 Anexo"/>
      <sheetName val="PIB Estructural II Trim 2009 "/>
      <sheetName val="Impuestos Netos"/>
      <sheetName val="PIB Estructural III Trim 2008 "/>
      <sheetName val="PIB Estructural III Trim2008Mod"/>
      <sheetName val="Var.  Estructural 2010  Mod"/>
      <sheetName val="PIB Estructural 2010 Estima 09 "/>
      <sheetName val="PIB Estructural 2010 Estima (2)"/>
      <sheetName val="Variacion PIB- Esc. Exp. Canal"/>
      <sheetName val="Tasas PIB INTRACORP"/>
      <sheetName val="Comp.Tasas PIB INTRACORP- Real "/>
      <sheetName val="Tasas PIB INTRACORP (2)"/>
      <sheetName val="Premisas Escenarios"/>
      <sheetName val="Estimacion PIB 2010-2024"/>
      <sheetName val="Pronosticos 2010-24 %"/>
      <sheetName val="Estimacion PIB 2010-2024 (2)"/>
      <sheetName val="Pronosticos 2010-24 % (2)"/>
      <sheetName val="Estimacion PIB 2010-2024 (3)"/>
      <sheetName val="Hoja5"/>
      <sheetName val="Hoja1"/>
      <sheetName val="Pronosticos 2010-24 % (3)"/>
      <sheetName val="Gráfico TASAS 2009-2024"/>
      <sheetName val="Tasas PIB INTRACORP (3)"/>
      <sheetName val="Empalme de Bases 96-82"/>
      <sheetName val="Empalme de Bases 96-82 (2)"/>
      <sheetName val="Hoja2"/>
      <sheetName val="Mat.  Cons.  2002-2006"/>
      <sheetName val="Produccion fisica Man 2002-06"/>
      <sheetName val="Carac.Consumo Sector Ind."/>
      <sheetName val="Evalua Estimado 2006"/>
      <sheetName val="industria-Algunos indicadores"/>
      <sheetName val="PIB MANUFACTURA"/>
      <sheetName val="Est. PIB MANUFACTURA ACP1996Mod"/>
      <sheetName val="Est. PIB MANUFACTURA ACP1996Mo2"/>
      <sheetName val="Est. PIB MANUFACTURA EMPALMEMod"/>
      <sheetName val="Hoja3"/>
    </sheetNames>
    <sheetDataSet>
      <sheetData sheetId="0">
        <row r="13">
          <cell r="D13">
            <v>588.29999999999995</v>
          </cell>
        </row>
      </sheetData>
      <sheetData sheetId="1"/>
      <sheetData sheetId="2">
        <row r="11">
          <cell r="AD11">
            <v>-0.12450884086444014</v>
          </cell>
        </row>
      </sheetData>
      <sheetData sheetId="3">
        <row r="41">
          <cell r="AH41">
            <v>6.5</v>
          </cell>
        </row>
      </sheetData>
      <sheetData sheetId="4"/>
      <sheetData sheetId="5"/>
      <sheetData sheetId="6">
        <row r="7">
          <cell r="AG7">
            <v>2.8234922146866938E-2</v>
          </cell>
        </row>
      </sheetData>
      <sheetData sheetId="7"/>
      <sheetData sheetId="8"/>
      <sheetData sheetId="9"/>
      <sheetData sheetId="10"/>
      <sheetData sheetId="11">
        <row r="12">
          <cell r="L12">
            <v>628.56387938206308</v>
          </cell>
        </row>
      </sheetData>
      <sheetData sheetId="12">
        <row r="27">
          <cell r="N27">
            <v>0.30833039181080124</v>
          </cell>
        </row>
      </sheetData>
      <sheetData sheetId="13">
        <row r="12">
          <cell r="L12">
            <v>3.9071116992456238E-2</v>
          </cell>
        </row>
      </sheetData>
      <sheetData sheetId="14"/>
      <sheetData sheetId="15"/>
      <sheetData sheetId="16">
        <row r="42">
          <cell r="K42">
            <v>20553.983233636332</v>
          </cell>
        </row>
      </sheetData>
      <sheetData sheetId="17">
        <row r="17">
          <cell r="K17">
            <v>1177.7581370070111</v>
          </cell>
        </row>
      </sheetData>
      <sheetData sheetId="18"/>
      <sheetData sheetId="19">
        <row r="19">
          <cell r="F19">
            <v>2.3443464982300322</v>
          </cell>
        </row>
      </sheetData>
      <sheetData sheetId="20"/>
      <sheetData sheetId="21"/>
      <sheetData sheetId="22"/>
      <sheetData sheetId="23">
        <row r="19">
          <cell r="L19">
            <v>1.7827949547141397E-2</v>
          </cell>
        </row>
      </sheetData>
      <sheetData sheetId="24"/>
      <sheetData sheetId="25"/>
      <sheetData sheetId="26"/>
      <sheetData sheetId="27">
        <row r="17">
          <cell r="L17">
            <v>19411.451970000002</v>
          </cell>
        </row>
      </sheetData>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Datos- actualizados"/>
      <sheetName val="Precios Promedio Energía eléctr"/>
      <sheetName val="IPC1997-2008e"/>
      <sheetName val="IPC-1970-2007"/>
      <sheetName val="Elasticidad-Precios"/>
      <sheetName val="Precios EE-análisis histórico"/>
      <sheetName val="Precios EE-análisis históri (2)"/>
      <sheetName val="FactorCarga-PronosLineal"/>
      <sheetName val="PIB-Base"/>
      <sheetName val="Consumo= Ventas"/>
      <sheetName val="Graf-PreciosEE"/>
      <sheetName val="Proyecció Precios"/>
      <sheetName val="PET- Ene80 Dic09"/>
      <sheetName val="PETROLEO-en80-en07"/>
      <sheetName val="Graf-PETROLEO ENE80-EN07"/>
      <sheetName val="DEMANDA MÁXIMA"/>
      <sheetName val="Población"/>
      <sheetName val="Pérdidas  (Datos presentación)"/>
      <sheetName val="Factor de Carga-Sin ACP"/>
      <sheetName val="Bloque = Bocas"/>
      <sheetName val="Perdidas Premisas Proyección"/>
      <sheetName val=" Perdidas PremisasProyección 08"/>
      <sheetName val="Pérdidas-história reciente "/>
      <sheetName val="Energía Disponible"/>
      <sheetName val="Consumo-BIENESTAR-vs-PRODUCCCIO"/>
      <sheetName val="Graf-Consumo-tasas"/>
      <sheetName val="Graf- Consumo -Sectorial "/>
      <sheetName val="Graf-Consumo -Estructura%"/>
      <sheetName val="Consumo-Histórico Cope"/>
      <sheetName val="Graf- Consumo -Sectores mayores"/>
      <sheetName val="Distribución-2006"/>
      <sheetName val="Distribución-2007"/>
      <sheetName val="Distribución-2003-2007"/>
      <sheetName val="Distribución-Proj. 2008"/>
      <sheetName val="Estimacion Facturacion 2008"/>
      <sheetName val="Compras Distribuidoras"/>
      <sheetName val="Fac-Carga cReducPérdidas NoTéc "/>
    </sheetNames>
    <sheetDataSet>
      <sheetData sheetId="0" refreshError="1">
        <row r="1">
          <cell r="A1" t="str">
            <v>Código</v>
          </cell>
          <cell r="B1" t="str">
            <v>FACTOT</v>
          </cell>
          <cell r="C1" t="str">
            <v>FC</v>
          </cell>
          <cell r="D1" t="str">
            <v>GWHALU</v>
          </cell>
          <cell r="E1" t="str">
            <v>GWHAUT</v>
          </cell>
          <cell r="F1" t="str">
            <v>GWHBLQ</v>
          </cell>
          <cell r="G1" t="str">
            <v>GWHBRU</v>
          </cell>
          <cell r="H1" t="str">
            <v>GWHCOM</v>
          </cell>
          <cell r="I1" t="str">
            <v>GWHDIS</v>
          </cell>
          <cell r="J1" t="str">
            <v>GWHIND</v>
          </cell>
          <cell r="K1" t="str">
            <v>GWHNET</v>
          </cell>
          <cell r="L1" t="str">
            <v>GWHOFI</v>
          </cell>
          <cell r="M1" t="str">
            <v>GWHOTR</v>
          </cell>
          <cell r="N1" t="str">
            <v>GWHPER</v>
          </cell>
          <cell r="O1" t="str">
            <v>GWHPNT</v>
          </cell>
          <cell r="P1" t="str">
            <v>GWHPTD</v>
          </cell>
          <cell r="Q1" t="str">
            <v>GWHPTT</v>
          </cell>
          <cell r="R1" t="str">
            <v>GWHRES</v>
          </cell>
          <cell r="S1" t="str">
            <v>GWHSEC</v>
          </cell>
          <cell r="T1" t="str">
            <v>GWHTOT</v>
          </cell>
          <cell r="U1" t="str">
            <v>INFPAN</v>
          </cell>
          <cell r="V1" t="str">
            <v>IPCPAN</v>
          </cell>
          <cell r="W1" t="str">
            <v>MWDEM</v>
          </cell>
          <cell r="X1" t="str">
            <v>MWINS</v>
          </cell>
          <cell r="Y1" t="str">
            <v>PIB198201</v>
          </cell>
          <cell r="Z1" t="str">
            <v>PIB198202</v>
          </cell>
          <cell r="AA1" t="str">
            <v>PIB198203</v>
          </cell>
          <cell r="AB1" t="str">
            <v>PIB198204</v>
          </cell>
          <cell r="AC1" t="str">
            <v>PIB198205</v>
          </cell>
          <cell r="AD1" t="str">
            <v>PIB198206</v>
          </cell>
          <cell r="AE1" t="str">
            <v>PIB198207</v>
          </cell>
          <cell r="AF1" t="str">
            <v>PIB198208</v>
          </cell>
          <cell r="AG1" t="str">
            <v>PIB198209</v>
          </cell>
          <cell r="AH1" t="str">
            <v>PIB198210</v>
          </cell>
          <cell r="AI1" t="str">
            <v>PIB198211</v>
          </cell>
          <cell r="AJ1" t="str">
            <v>PIB198212</v>
          </cell>
          <cell r="AK1" t="str">
            <v>PIB198213</v>
          </cell>
          <cell r="AL1" t="str">
            <v>PIB198214</v>
          </cell>
          <cell r="AM1" t="str">
            <v>PIB198215</v>
          </cell>
          <cell r="AN1" t="str">
            <v>PIB198216</v>
          </cell>
          <cell r="AO1" t="str">
            <v>PIB198217</v>
          </cell>
          <cell r="AP1" t="str">
            <v>PIB198218</v>
          </cell>
          <cell r="AQ1" t="str">
            <v>PIB198219</v>
          </cell>
          <cell r="AR1" t="str">
            <v>PIB7001</v>
          </cell>
          <cell r="AS1" t="str">
            <v>PIB7002</v>
          </cell>
          <cell r="AT1" t="str">
            <v>PIB7003</v>
          </cell>
          <cell r="AU1" t="str">
            <v>PIB7004</v>
          </cell>
          <cell r="AV1" t="str">
            <v>PIB7005</v>
          </cell>
          <cell r="AW1" t="str">
            <v>PIB7006</v>
          </cell>
          <cell r="AX1" t="str">
            <v>PIB7007</v>
          </cell>
          <cell r="AY1" t="str">
            <v>PIB7008</v>
          </cell>
          <cell r="AZ1" t="str">
            <v>PIB7009</v>
          </cell>
          <cell r="BA1" t="str">
            <v>PIB7010</v>
          </cell>
          <cell r="BB1" t="str">
            <v>PIB7011</v>
          </cell>
          <cell r="BC1" t="str">
            <v>PIB7012</v>
          </cell>
          <cell r="BD1" t="str">
            <v>PIB8201</v>
          </cell>
          <cell r="BE1" t="str">
            <v>PIB8202</v>
          </cell>
          <cell r="BF1" t="str">
            <v>PIB8203</v>
          </cell>
          <cell r="BG1" t="str">
            <v>PIB8204</v>
          </cell>
          <cell r="BH1" t="str">
            <v>PIB8205</v>
          </cell>
          <cell r="BI1" t="str">
            <v>PIB8206</v>
          </cell>
          <cell r="BJ1" t="str">
            <v>PIB8207</v>
          </cell>
          <cell r="BK1" t="str">
            <v>PIB8208</v>
          </cell>
          <cell r="BL1" t="str">
            <v>PIB8209</v>
          </cell>
          <cell r="BM1" t="str">
            <v>PIB8210</v>
          </cell>
          <cell r="BN1" t="str">
            <v>PIB8211</v>
          </cell>
          <cell r="BO1" t="str">
            <v>PIB8212</v>
          </cell>
          <cell r="BP1" t="str">
            <v>PIB8213</v>
          </cell>
          <cell r="BQ1" t="str">
            <v>PIB8214</v>
          </cell>
          <cell r="BR1" t="str">
            <v>PIB8215</v>
          </cell>
          <cell r="BS1" t="str">
            <v>PIB8216</v>
          </cell>
          <cell r="BT1" t="str">
            <v>PIB8217</v>
          </cell>
          <cell r="BU1" t="str">
            <v>PIB8218</v>
          </cell>
          <cell r="BV1" t="str">
            <v>PIB8219</v>
          </cell>
          <cell r="BW1" t="str">
            <v>PIB9601</v>
          </cell>
          <cell r="BX1" t="str">
            <v>PIB9602</v>
          </cell>
          <cell r="BY1" t="str">
            <v>PIB9603</v>
          </cell>
          <cell r="BZ1" t="str">
            <v>PIB9604</v>
          </cell>
          <cell r="CA1" t="str">
            <v>PIB9605</v>
          </cell>
          <cell r="CB1" t="str">
            <v>PIB9606</v>
          </cell>
          <cell r="CC1" t="str">
            <v>PIB9607</v>
          </cell>
          <cell r="CD1" t="str">
            <v>PIB9608</v>
          </cell>
          <cell r="CE1" t="str">
            <v>PIB9609</v>
          </cell>
          <cell r="CF1" t="str">
            <v>PIB9610</v>
          </cell>
          <cell r="CG1" t="str">
            <v>PIB9611</v>
          </cell>
          <cell r="CH1" t="str">
            <v>PIB9612</v>
          </cell>
          <cell r="CI1" t="str">
            <v>PIB9613</v>
          </cell>
          <cell r="CJ1" t="str">
            <v>PIB9614</v>
          </cell>
          <cell r="CK1" t="str">
            <v>PIB9615</v>
          </cell>
          <cell r="CL1" t="str">
            <v>PIB9616</v>
          </cell>
          <cell r="CM1" t="str">
            <v>PIB9617</v>
          </cell>
          <cell r="CN1" t="str">
            <v>PIB9618</v>
          </cell>
          <cell r="CO1" t="str">
            <v>PIB9619</v>
          </cell>
          <cell r="CP1" t="str">
            <v>PIB9620</v>
          </cell>
          <cell r="CQ1" t="str">
            <v>PIB9621</v>
          </cell>
          <cell r="CR1" t="str">
            <v>PIBCOM</v>
          </cell>
          <cell r="CS1" t="str">
            <v>PIBMAN</v>
          </cell>
          <cell r="CT1" t="str">
            <v>PIBREA</v>
          </cell>
          <cell r="CU1" t="str">
            <v>PIBSUB</v>
          </cell>
          <cell r="CV1" t="str">
            <v>POBRUR</v>
          </cell>
          <cell r="CW1" t="str">
            <v>POBRUX</v>
          </cell>
          <cell r="CX1" t="str">
            <v>POBRUY</v>
          </cell>
          <cell r="CY1" t="str">
            <v>POBTOT</v>
          </cell>
          <cell r="CZ1" t="str">
            <v>POBURB</v>
          </cell>
          <cell r="DA1" t="str">
            <v>POBURX</v>
          </cell>
          <cell r="DB1" t="str">
            <v>POBURY</v>
          </cell>
          <cell r="DC1" t="str">
            <v>PRETOT</v>
          </cell>
        </row>
        <row r="2">
          <cell r="A2" t="str">
            <v>Descripción</v>
          </cell>
          <cell r="B2" t="str">
            <v>Facturación de energía eléctrica</v>
          </cell>
          <cell r="C2" t="str">
            <v>Factor de carga eléctrica</v>
          </cell>
          <cell r="D2" t="str">
            <v>Ventas de energía en alumbrado público</v>
          </cell>
          <cell r="E2" t="str">
            <v>Energía autoconsumida por distribuidoras</v>
          </cell>
          <cell r="F2" t="str">
            <v>Ventas de energía bloques independientes</v>
          </cell>
          <cell r="G2" t="str">
            <v>Generación bruta de energía eléctrica</v>
          </cell>
          <cell r="H2" t="str">
            <v>Ventas de energía en sector comercial</v>
          </cell>
          <cell r="I2" t="str">
            <v>Energía eléctrica disponible</v>
          </cell>
          <cell r="J2" t="str">
            <v>Ventas de energía en sector industrial</v>
          </cell>
          <cell r="K2" t="str">
            <v>Generación neta de energía eléctrica</v>
          </cell>
          <cell r="L2" t="str">
            <v>Ventas de energía en sector oficial</v>
          </cell>
          <cell r="M2" t="str">
            <v>Ventas de energía en otros sectores</v>
          </cell>
          <cell r="N2" t="str">
            <v>Pérdidas de energía eléctrica</v>
          </cell>
          <cell r="O2" t="str">
            <v>Pérdidas no técnicas</v>
          </cell>
          <cell r="P2" t="str">
            <v>Pérdidas técnicas en distribución</v>
          </cell>
          <cell r="Q2" t="str">
            <v>Pérdidas técnicas en generación y transmisión</v>
          </cell>
          <cell r="R2" t="str">
            <v>Ventas de energía en sector residencial</v>
          </cell>
          <cell r="S2" t="str">
            <v>Ventas de energía en sectores básicos de consumo (residencial, comercial, industrial y oficial)</v>
          </cell>
          <cell r="T2" t="str">
            <v>Ventas de energía eléctrica</v>
          </cell>
          <cell r="U2" t="str">
            <v>Inflación de Panamá</v>
          </cell>
          <cell r="V2" t="str">
            <v>IPC anual de Panamá (1987 = 100)</v>
          </cell>
          <cell r="W2" t="str">
            <v>Demanda máxima de potencia eléctrica</v>
          </cell>
          <cell r="X2" t="str">
            <v>Potencia eléctrica instalada</v>
          </cell>
          <cell r="Y2" t="str">
            <v>Agricultura, silvicultura y caza</v>
          </cell>
          <cell r="Z2" t="str">
            <v>Pesca</v>
          </cell>
          <cell r="AA2" t="str">
            <v>Explotación de minas y canteras</v>
          </cell>
          <cell r="AB2" t="str">
            <v>Industria manufacturera</v>
          </cell>
          <cell r="AC2" t="str">
            <v>Electricidad, gas y agua</v>
          </cell>
          <cell r="AD2" t="str">
            <v>Construcción</v>
          </cell>
          <cell r="AE2" t="str">
            <v>Comercio al por mayor y al por menor</v>
          </cell>
          <cell r="AF2" t="str">
            <v>Hoteles y restaurantes</v>
          </cell>
          <cell r="AG2" t="str">
            <v>Transporte, almacenamiento y comunicaciones</v>
          </cell>
          <cell r="AH2" t="str">
            <v>Intermediación financiera</v>
          </cell>
          <cell r="AI2" t="str">
            <v>Actividades inmobiliarias empresariales y alquiler</v>
          </cell>
          <cell r="AJ2" t="str">
            <v>Enseñanza privada</v>
          </cell>
          <cell r="AK2" t="str">
            <v>Actividades de servicios sociales y de salud</v>
          </cell>
          <cell r="AL2" t="str">
            <v>Otras actividades comunitarias, sociales y personales</v>
          </cell>
          <cell r="AM2" t="str">
            <v>Menos: Servicio de intermediación financiera</v>
          </cell>
          <cell r="AN2" t="str">
            <v>Productores de servicios gubernamentales</v>
          </cell>
          <cell r="AO2" t="str">
            <v>Productores de servicios domésticos</v>
          </cell>
          <cell r="AP2" t="str">
            <v>Más: Derechos de importación e ITBM</v>
          </cell>
          <cell r="AQ2" t="str">
            <v>Más: ITBM que grava las compras de los hogares</v>
          </cell>
          <cell r="AR2" t="str">
            <v>Agricultura, silvicultura, caza y pesca</v>
          </cell>
          <cell r="AS2" t="str">
            <v>Explotación de minas y canteras</v>
          </cell>
          <cell r="AT2" t="str">
            <v>Industria manufacturera</v>
          </cell>
          <cell r="AU2" t="str">
            <v>Electricidad, gas y agua</v>
          </cell>
          <cell r="AV2" t="str">
            <v>Construcción</v>
          </cell>
          <cell r="AW2" t="str">
            <v>Comercio al por mayor y al por menor, hoteles y restaurantes</v>
          </cell>
          <cell r="AX2" t="str">
            <v>Transporte, almacenamiento y comunicaciones</v>
          </cell>
          <cell r="AY2" t="str">
            <v>Intermediación financiera</v>
          </cell>
          <cell r="AZ2" t="str">
            <v>Actividades inmobiliarias empresariales, alquiler y enseñanza privada</v>
          </cell>
          <cell r="BA2" t="str">
            <v>Actividades de servicios sociales, de salud y personales</v>
          </cell>
          <cell r="BB2" t="str">
            <v>Productores de servicios gubernamentales</v>
          </cell>
          <cell r="BC2" t="str">
            <v>Más: Derechos de importación e ITBM</v>
          </cell>
          <cell r="BD2" t="str">
            <v>Agricultura, silvicultura y caza</v>
          </cell>
          <cell r="BE2" t="str">
            <v>Pesca</v>
          </cell>
          <cell r="BF2" t="str">
            <v>Explotación de minas y canteras</v>
          </cell>
          <cell r="BG2" t="str">
            <v>Industria manufacturera</v>
          </cell>
          <cell r="BH2" t="str">
            <v>Electricidad, gas y agua</v>
          </cell>
          <cell r="BI2" t="str">
            <v>Construcción</v>
          </cell>
          <cell r="BJ2" t="str">
            <v>Comercio al por mayor y al por menor</v>
          </cell>
          <cell r="BK2" t="str">
            <v>Hoteles y restaurantes</v>
          </cell>
          <cell r="BL2" t="str">
            <v>Transporte, almacenamiento y comunicaciones</v>
          </cell>
          <cell r="BM2" t="str">
            <v>Intermediación financiera</v>
          </cell>
          <cell r="BN2" t="str">
            <v>Actividades inmobiliarias empresariales y alquiler</v>
          </cell>
          <cell r="BO2" t="str">
            <v>Enseñanza privada</v>
          </cell>
          <cell r="BP2" t="str">
            <v>Actividades de servicios sociales y de salud</v>
          </cell>
          <cell r="BQ2" t="str">
            <v>Otras actividades comunitarias, sociales y personales</v>
          </cell>
          <cell r="BR2" t="str">
            <v>Menos: Servicio de intermediación financiera</v>
          </cell>
          <cell r="BS2" t="str">
            <v>Productores de servicios gubernamentales</v>
          </cell>
          <cell r="BT2" t="str">
            <v>Productores de servicios domésticos</v>
          </cell>
          <cell r="BU2" t="str">
            <v>Más: Derechos de importación e ITBM</v>
          </cell>
          <cell r="BV2" t="str">
            <v>Más: ITBM que grava las compras de los hogares</v>
          </cell>
          <cell r="BW2" t="str">
            <v>Agricultura, silvicultura y caza</v>
          </cell>
          <cell r="BX2" t="str">
            <v>Pesca</v>
          </cell>
          <cell r="BY2" t="str">
            <v>Explotación de minas y canteras</v>
          </cell>
          <cell r="BZ2" t="str">
            <v>Industria manufacturera</v>
          </cell>
          <cell r="CA2" t="str">
            <v>Electricidad, gas y agua</v>
          </cell>
          <cell r="CB2" t="str">
            <v>Construcción</v>
          </cell>
          <cell r="CC2" t="str">
            <v>Comercio al por mayor y al por menor</v>
          </cell>
          <cell r="CD2" t="str">
            <v>Hoteles y restaurantes</v>
          </cell>
          <cell r="CE2" t="str">
            <v>Transporte, almacenamiento y comunicaciones</v>
          </cell>
          <cell r="CF2" t="str">
            <v>Intermediación financiera</v>
          </cell>
          <cell r="CG2" t="str">
            <v>Actividades inmobiliarias empresariales y alquiler</v>
          </cell>
          <cell r="CH2" t="str">
            <v>Enseñanza privada</v>
          </cell>
          <cell r="CI2" t="str">
            <v>Actividades de servicios sociales y de salud</v>
          </cell>
          <cell r="CJ2" t="str">
            <v>Otras actividades comunitarias, sociales y personales</v>
          </cell>
          <cell r="CK2" t="str">
            <v>Menos: Servicio de intermediación financiera</v>
          </cell>
          <cell r="CL2" t="str">
            <v>Productores de servicios gubernamentales</v>
          </cell>
          <cell r="CM2" t="str">
            <v>Productores de servicios domésticos</v>
          </cell>
          <cell r="CN2" t="str">
            <v>Más: Derechos de importación e ITBM</v>
          </cell>
          <cell r="CO2" t="str">
            <v>Más: ITBM que grava las compras de los hogares</v>
          </cell>
          <cell r="CP2" t="str">
            <v>Más: Otros impuestos a los productos</v>
          </cell>
          <cell r="CQ2" t="str">
            <v>Menos: subvenciones a los productos</v>
          </cell>
          <cell r="CR2" t="str">
            <v>Producto interno bruto del sector comercial según serie 82</v>
          </cell>
          <cell r="CS2" t="str">
            <v>Producto interno bruto del sector manufacturero según serie 82</v>
          </cell>
          <cell r="CT2" t="str">
            <v>Producto interno bruto real según serie 82</v>
          </cell>
          <cell r="CU2" t="str">
            <v>Producto interno bruto real de sectores subtitutos según serie 82</v>
          </cell>
          <cell r="CV2" t="str">
            <v>Población rural</v>
          </cell>
          <cell r="CW2" t="str">
            <v>Población rural masculina</v>
          </cell>
          <cell r="CX2" t="str">
            <v>Población rural femenina</v>
          </cell>
          <cell r="CY2" t="str">
            <v>Población total</v>
          </cell>
          <cell r="CZ2" t="str">
            <v>Población urbana</v>
          </cell>
          <cell r="DA2" t="str">
            <v>Población urbana masculina</v>
          </cell>
          <cell r="DB2" t="str">
            <v>Población urbana femenina</v>
          </cell>
          <cell r="DC2" t="str">
            <v>Precio ponderado real de energía eléctrica</v>
          </cell>
        </row>
        <row r="3">
          <cell r="A3" t="str">
            <v>Unidad</v>
          </cell>
          <cell r="B3" t="str">
            <v>Millones de Balboas corrientes</v>
          </cell>
          <cell r="C3" t="str">
            <v>%</v>
          </cell>
          <cell r="D3" t="str">
            <v>GWh</v>
          </cell>
          <cell r="E3" t="str">
            <v>GWh</v>
          </cell>
          <cell r="F3" t="str">
            <v>GWh</v>
          </cell>
          <cell r="G3" t="str">
            <v>GWh</v>
          </cell>
          <cell r="H3" t="str">
            <v>GWh</v>
          </cell>
          <cell r="I3" t="str">
            <v>GWh</v>
          </cell>
          <cell r="J3" t="str">
            <v>GWh</v>
          </cell>
          <cell r="K3" t="str">
            <v>GWh</v>
          </cell>
          <cell r="L3" t="str">
            <v>GWh</v>
          </cell>
          <cell r="M3" t="str">
            <v>GWh</v>
          </cell>
          <cell r="N3" t="str">
            <v>GWh</v>
          </cell>
          <cell r="O3" t="str">
            <v>GWh</v>
          </cell>
          <cell r="P3" t="str">
            <v>GWh</v>
          </cell>
          <cell r="Q3" t="str">
            <v>GWh</v>
          </cell>
          <cell r="R3" t="str">
            <v>GWh</v>
          </cell>
          <cell r="S3" t="str">
            <v>GWh</v>
          </cell>
          <cell r="T3" t="str">
            <v>GWh</v>
          </cell>
          <cell r="U3" t="str">
            <v>%</v>
          </cell>
          <cell r="V3" t="str">
            <v>1987 = 100</v>
          </cell>
          <cell r="W3" t="str">
            <v>MW</v>
          </cell>
          <cell r="X3" t="str">
            <v>MW</v>
          </cell>
          <cell r="Y3" t="str">
            <v>Millones de Balboas constantes de 1982</v>
          </cell>
          <cell r="Z3" t="str">
            <v>Millones de Balboas constantes de 1982</v>
          </cell>
          <cell r="AA3" t="str">
            <v>Millones de Balboas constantes de 1982</v>
          </cell>
          <cell r="AB3" t="str">
            <v>Millones de Balboas constantes de 1982</v>
          </cell>
          <cell r="AC3" t="str">
            <v>Millones de Balboas constantes de 1982</v>
          </cell>
          <cell r="AD3" t="str">
            <v>Millones de Balboas constantes de 1982</v>
          </cell>
          <cell r="AE3" t="str">
            <v>Millones de Balboas constantes de 1982</v>
          </cell>
          <cell r="AF3" t="str">
            <v>Millones de Balboas constantes de 1982</v>
          </cell>
          <cell r="AG3" t="str">
            <v>Millones de Balboas constantes de 1982</v>
          </cell>
          <cell r="AH3" t="str">
            <v>Millones de Balboas constantes de 1982</v>
          </cell>
          <cell r="AI3" t="str">
            <v>Millones de Balboas constantes de 1982</v>
          </cell>
          <cell r="AJ3" t="str">
            <v>Millones de Balboas constantes de 1982</v>
          </cell>
          <cell r="AK3" t="str">
            <v>Millones de Balboas constantes de 1982</v>
          </cell>
          <cell r="AL3" t="str">
            <v>Millones de Balboas constantes de 1982</v>
          </cell>
          <cell r="AM3" t="str">
            <v>Millones de Balboas constantes de 1982</v>
          </cell>
          <cell r="AN3" t="str">
            <v>Millones de Balboas constantes de 1982</v>
          </cell>
          <cell r="AO3" t="str">
            <v>Millones de Balboas constantes de 1982</v>
          </cell>
          <cell r="AP3" t="str">
            <v>Millones de Balboas constantes de 1982</v>
          </cell>
          <cell r="AQ3" t="str">
            <v>Millones de Balboas constantes de 1982</v>
          </cell>
          <cell r="AR3" t="str">
            <v>Millones de Balboas constantes de 1970</v>
          </cell>
          <cell r="AS3" t="str">
            <v>Millones de Balboas constantes de 1970</v>
          </cell>
          <cell r="AT3" t="str">
            <v>Millones de Balboas constantes de 1970</v>
          </cell>
          <cell r="AU3" t="str">
            <v>Millones de Balboas constantes de 1970</v>
          </cell>
          <cell r="AV3" t="str">
            <v>Millones de Balboas constantes de 1970</v>
          </cell>
          <cell r="AW3" t="str">
            <v>Millones de Balboas constantes de 1970</v>
          </cell>
          <cell r="AX3" t="str">
            <v>Millones de Balboas constantes de 1970</v>
          </cell>
          <cell r="AY3" t="str">
            <v>Millones de Balboas constantes de 1970</v>
          </cell>
          <cell r="AZ3" t="str">
            <v>Millones de Balboas constantes de 1970</v>
          </cell>
          <cell r="BA3" t="str">
            <v>Millones de Balboas constantes de 1970</v>
          </cell>
          <cell r="BB3" t="str">
            <v>Millones de Balboas constantes de 1970</v>
          </cell>
          <cell r="BC3" t="str">
            <v>Millones de Balboas constantes de 1970</v>
          </cell>
          <cell r="BD3" t="str">
            <v>Millones de Balboas constantes de 1982</v>
          </cell>
          <cell r="BE3" t="str">
            <v>Millones de Balboas constantes de 1982</v>
          </cell>
          <cell r="BF3" t="str">
            <v>Millones de Balboas constantes de 1982</v>
          </cell>
          <cell r="BG3" t="str">
            <v>Millones de Balboas constantes de 1982</v>
          </cell>
          <cell r="BH3" t="str">
            <v>Millones de Balboas constantes de 1982</v>
          </cell>
          <cell r="BI3" t="str">
            <v>Millones de Balboas constantes de 1982</v>
          </cell>
          <cell r="BJ3" t="str">
            <v>Millones de Balboas constantes de 1982</v>
          </cell>
          <cell r="BK3" t="str">
            <v>Millones de Balboas constantes de 1982</v>
          </cell>
          <cell r="BL3" t="str">
            <v>Millones de Balboas constantes de 1982</v>
          </cell>
          <cell r="BM3" t="str">
            <v>Millones de Balboas constantes de 1982</v>
          </cell>
          <cell r="BN3" t="str">
            <v>Millones de Balboas constantes de 1982</v>
          </cell>
          <cell r="BO3" t="str">
            <v>Millones de Balboas constantes de 1982</v>
          </cell>
          <cell r="BP3" t="str">
            <v>Millones de Balboas constantes de 1982</v>
          </cell>
          <cell r="BQ3" t="str">
            <v>Millones de Balboas constantes de 1982</v>
          </cell>
          <cell r="BR3" t="str">
            <v>Millones de Balboas constantes de 1982</v>
          </cell>
          <cell r="BS3" t="str">
            <v>Millones de Balboas constantes de 1982</v>
          </cell>
          <cell r="BT3" t="str">
            <v>Millones de Balboas constantes de 1982</v>
          </cell>
          <cell r="BU3" t="str">
            <v>Millones de Balboas constantes de 1982</v>
          </cell>
          <cell r="BV3" t="str">
            <v>Millones de Balboas constantes de 1982</v>
          </cell>
          <cell r="BW3" t="str">
            <v>Millones de Balboas constantes de 1996</v>
          </cell>
          <cell r="BX3" t="str">
            <v>Millones de Balboas constantes de 1996</v>
          </cell>
          <cell r="BY3" t="str">
            <v>Millones de Balboas constantes de 1996</v>
          </cell>
          <cell r="BZ3" t="str">
            <v>Millones de Balboas constantes de 1996</v>
          </cell>
          <cell r="CA3" t="str">
            <v>Millones de Balboas constantes de 1996</v>
          </cell>
          <cell r="CB3" t="str">
            <v>Millones de Balboas constantes de 1996</v>
          </cell>
          <cell r="CC3" t="str">
            <v>Millones de Balboas constantes de 1996</v>
          </cell>
          <cell r="CD3" t="str">
            <v>Millones de Balboas constantes de 1996</v>
          </cell>
          <cell r="CE3" t="str">
            <v>Millones de Balboas constantes de 1996</v>
          </cell>
          <cell r="CF3" t="str">
            <v>Millones de Balboas constantes de 1996</v>
          </cell>
          <cell r="CG3" t="str">
            <v>Millones de Balboas constantes de 1996</v>
          </cell>
          <cell r="CH3" t="str">
            <v>Millones de Balboas constantes de 1996</v>
          </cell>
          <cell r="CI3" t="str">
            <v>Millones de Balboas constantes de 1996</v>
          </cell>
          <cell r="CJ3" t="str">
            <v>Millones de Balboas constantes de 1996</v>
          </cell>
          <cell r="CK3" t="str">
            <v>Millones de Balboas constantes de 1996</v>
          </cell>
          <cell r="CL3" t="str">
            <v>Millones de Balboas constantes de 1996</v>
          </cell>
          <cell r="CM3" t="str">
            <v>Millones de Balboas constantes de 1996</v>
          </cell>
          <cell r="CN3" t="str">
            <v>Millones de Balboas constantes de 1996</v>
          </cell>
          <cell r="CO3" t="str">
            <v>Millones de Balboas constantes de 1996</v>
          </cell>
          <cell r="CP3" t="str">
            <v>Millones de Balboas constantes de 1996</v>
          </cell>
          <cell r="CQ3" t="str">
            <v>Millones de Balboas constantes de 1996</v>
          </cell>
          <cell r="CR3" t="str">
            <v>Millones de Balboas constantes de 1982</v>
          </cell>
          <cell r="CS3" t="str">
            <v>Millones de Balboas constantes de 1982</v>
          </cell>
          <cell r="CT3" t="str">
            <v>Millones de Balboas constantes de 1982</v>
          </cell>
          <cell r="CU3" t="str">
            <v>Millones de Balboas constantes de 1982</v>
          </cell>
          <cell r="CV3" t="str">
            <v>Miles de habitantes</v>
          </cell>
          <cell r="CW3" t="str">
            <v>Miles de habitantes</v>
          </cell>
          <cell r="CX3" t="str">
            <v>Miles de habitantes</v>
          </cell>
          <cell r="CY3" t="str">
            <v>Miles de habitantes</v>
          </cell>
          <cell r="CZ3" t="str">
            <v>Miles de habitantes</v>
          </cell>
          <cell r="DA3" t="str">
            <v>Miles de habitantes</v>
          </cell>
          <cell r="DB3" t="str">
            <v>Miles de habitantes</v>
          </cell>
          <cell r="DC3" t="str">
            <v>Balboas/MWh constantes de 1982</v>
          </cell>
        </row>
        <row r="4">
          <cell r="A4" t="str">
            <v>Fuente</v>
          </cell>
          <cell r="B4" t="str">
            <v>IRHE 1970-1997 &amp; ERSP 1998-2001</v>
          </cell>
          <cell r="C4" t="str">
            <v>COPE 1973-2002</v>
          </cell>
          <cell r="D4" t="str">
            <v>COPE 1970-2002</v>
          </cell>
          <cell r="E4" t="str">
            <v>COPE 1970-2002</v>
          </cell>
          <cell r="F4" t="str">
            <v>COPE 1970-2002</v>
          </cell>
          <cell r="G4" t="str">
            <v>COPE 1970-2002</v>
          </cell>
          <cell r="H4" t="str">
            <v>COPE 1970-2002</v>
          </cell>
          <cell r="I4" t="str">
            <v>COPE 1970-2002</v>
          </cell>
          <cell r="J4" t="str">
            <v>COPE 1970-2002</v>
          </cell>
          <cell r="K4" t="str">
            <v>COPE 1970-2002</v>
          </cell>
          <cell r="L4" t="str">
            <v>COPE 1970-2002</v>
          </cell>
          <cell r="M4" t="str">
            <v>COPE 1970-2002</v>
          </cell>
          <cell r="N4" t="str">
            <v>Fórmula</v>
          </cell>
          <cell r="O4" t="str">
            <v>COPE 1970-2002</v>
          </cell>
          <cell r="P4" t="str">
            <v>COPE 1970-2002</v>
          </cell>
          <cell r="Q4" t="str">
            <v>COPE 1970-2002</v>
          </cell>
          <cell r="R4" t="str">
            <v>COPE 1970-2002</v>
          </cell>
          <cell r="S4" t="str">
            <v>Fórmula</v>
          </cell>
          <cell r="T4" t="str">
            <v>Fórmula</v>
          </cell>
          <cell r="U4" t="str">
            <v>COPE 1971-2002</v>
          </cell>
          <cell r="V4" t="str">
            <v>Fórmula</v>
          </cell>
          <cell r="W4" t="str">
            <v>COPE 1970-2002</v>
          </cell>
          <cell r="X4" t="str">
            <v>COPE 1970-2002</v>
          </cell>
          <cell r="Y4" t="str">
            <v>PREEICA 1970-2005</v>
          </cell>
          <cell r="Z4" t="str">
            <v>PREEICA 1970-2005</v>
          </cell>
          <cell r="AA4" t="str">
            <v>PREEICA 1970-2005</v>
          </cell>
          <cell r="AB4" t="str">
            <v>PREEICA 1970-2005</v>
          </cell>
          <cell r="AC4" t="str">
            <v>PREEICA 1970-2005</v>
          </cell>
          <cell r="AD4" t="str">
            <v>PREEICA 1970-2005</v>
          </cell>
          <cell r="AE4" t="str">
            <v>PREEICA 1970-2005</v>
          </cell>
          <cell r="AF4" t="str">
            <v>PREEICA 1970-2005</v>
          </cell>
          <cell r="AG4" t="str">
            <v>PREEICA 1970-2005</v>
          </cell>
          <cell r="AH4" t="str">
            <v>PREEICA 1970-2005</v>
          </cell>
          <cell r="AI4" t="str">
            <v>PREEICA 1970-2005</v>
          </cell>
          <cell r="AJ4" t="str">
            <v>PREEICA 1970-2005</v>
          </cell>
          <cell r="AK4" t="str">
            <v>PREEICA 1970-2005</v>
          </cell>
          <cell r="AL4" t="str">
            <v>PREEICA 1970-2005</v>
          </cell>
          <cell r="AM4" t="str">
            <v>PREEICA 1970-2005</v>
          </cell>
          <cell r="AN4" t="str">
            <v>PREEICA 1970-2005</v>
          </cell>
          <cell r="AO4" t="str">
            <v>PREEICA 1970-2005</v>
          </cell>
          <cell r="AP4" t="str">
            <v>PREEICA 1970-2005</v>
          </cell>
          <cell r="AQ4" t="str">
            <v>PREEICA 1970-2005</v>
          </cell>
          <cell r="AR4" t="str">
            <v>CEPAL 1970-1979</v>
          </cell>
          <cell r="AS4" t="str">
            <v>CEPAL 1970-1979</v>
          </cell>
          <cell r="AT4" t="str">
            <v>CEPAL 1970-1979</v>
          </cell>
          <cell r="AU4" t="str">
            <v>CEPAL 1970-1979</v>
          </cell>
          <cell r="AV4" t="str">
            <v>CEPAL 1970-1979</v>
          </cell>
          <cell r="AW4" t="str">
            <v>CEPAL 1970-1979</v>
          </cell>
          <cell r="AX4" t="str">
            <v>CEPAL 1970-1979</v>
          </cell>
          <cell r="AY4" t="str">
            <v>CEPAL 1970-1979</v>
          </cell>
          <cell r="AZ4" t="str">
            <v>CEPAL 1970-1979</v>
          </cell>
          <cell r="BA4" t="str">
            <v>CEPAL 1970-1979</v>
          </cell>
          <cell r="BB4" t="str">
            <v>CEPAL 1970-1979</v>
          </cell>
          <cell r="BC4" t="str">
            <v>CEPAL 1970-1979</v>
          </cell>
          <cell r="BD4" t="str">
            <v>CGR 1980-2001</v>
          </cell>
          <cell r="BE4" t="str">
            <v>CGR 1980-2001</v>
          </cell>
          <cell r="BF4" t="str">
            <v>CGR 1980-2001</v>
          </cell>
          <cell r="BG4" t="str">
            <v>CGR 1980-2001</v>
          </cell>
          <cell r="BH4" t="str">
            <v>CGR 1980-2001</v>
          </cell>
          <cell r="BI4" t="str">
            <v>CGR 1980-2001</v>
          </cell>
          <cell r="BJ4" t="str">
            <v>CGR 1980-2001</v>
          </cell>
          <cell r="BK4" t="str">
            <v>CGR 1980-2001</v>
          </cell>
          <cell r="BL4" t="str">
            <v>CGR 1980-2001</v>
          </cell>
          <cell r="BM4" t="str">
            <v>CGR 1980-2001</v>
          </cell>
          <cell r="BN4" t="str">
            <v>CGR 1980-2001</v>
          </cell>
          <cell r="BO4" t="str">
            <v>CGR 1980-2001</v>
          </cell>
          <cell r="BP4" t="str">
            <v>CGR 1980-2001</v>
          </cell>
          <cell r="BQ4" t="str">
            <v>CGR 1980-2001</v>
          </cell>
          <cell r="BR4" t="str">
            <v>CGR 1980-2001</v>
          </cell>
          <cell r="BS4" t="str">
            <v>CGR 1980-2001</v>
          </cell>
          <cell r="BT4" t="str">
            <v>CGR 1980-2001</v>
          </cell>
          <cell r="BU4" t="str">
            <v>CGR 1980-2001</v>
          </cell>
          <cell r="BV4" t="str">
            <v>CGR 1980-2001</v>
          </cell>
          <cell r="BW4" t="str">
            <v>MEF 1996-2002</v>
          </cell>
          <cell r="BX4" t="str">
            <v>MEF 1996-2002</v>
          </cell>
          <cell r="BY4" t="str">
            <v>MEF 1996-2002</v>
          </cell>
          <cell r="BZ4" t="str">
            <v>MEF 1996-2002</v>
          </cell>
          <cell r="CA4" t="str">
            <v>MEF 1996-2002</v>
          </cell>
          <cell r="CB4" t="str">
            <v>MEF 1996-2002</v>
          </cell>
          <cell r="CC4" t="str">
            <v>MEF 1996-2002</v>
          </cell>
          <cell r="CD4" t="str">
            <v>MEF 1996-2002</v>
          </cell>
          <cell r="CE4" t="str">
            <v>MEF 1996-2002</v>
          </cell>
          <cell r="CF4" t="str">
            <v>MEF 1996-2002</v>
          </cell>
          <cell r="CG4" t="str">
            <v>MEF 1996-2002</v>
          </cell>
          <cell r="CH4" t="str">
            <v>MEF 1996-2002</v>
          </cell>
          <cell r="CI4" t="str">
            <v>MEF 1996-2002</v>
          </cell>
          <cell r="CJ4" t="str">
            <v>MEF 1996-2002</v>
          </cell>
          <cell r="CK4" t="str">
            <v>MEF 1996-2002</v>
          </cell>
          <cell r="CL4" t="str">
            <v>MEF 1996-2002</v>
          </cell>
          <cell r="CM4" t="str">
            <v>MEF 1996-2002</v>
          </cell>
          <cell r="CN4" t="str">
            <v>MEF 1996-2002</v>
          </cell>
          <cell r="CO4" t="str">
            <v>MEF 1996-2002</v>
          </cell>
          <cell r="CP4" t="str">
            <v>MEF 1996-2002</v>
          </cell>
          <cell r="CQ4" t="str">
            <v>MEF 1996-2002</v>
          </cell>
          <cell r="CR4" t="str">
            <v>Fómula</v>
          </cell>
          <cell r="CS4" t="str">
            <v>Fómula</v>
          </cell>
          <cell r="CT4" t="str">
            <v>Fómula</v>
          </cell>
          <cell r="CU4" t="str">
            <v>Fómula</v>
          </cell>
          <cell r="CV4" t="str">
            <v>Fórmula</v>
          </cell>
          <cell r="CW4" t="str">
            <v>CELADE 1950-1999 &amp; CGR 2000</v>
          </cell>
          <cell r="CX4" t="str">
            <v>CELADE 1950-1999 &amp; CGR 2000</v>
          </cell>
          <cell r="CY4" t="str">
            <v>Fórmula</v>
          </cell>
          <cell r="CZ4" t="str">
            <v>Fórmula</v>
          </cell>
          <cell r="DA4" t="str">
            <v>CELADE 1950-1999 &amp; CGR 2000</v>
          </cell>
          <cell r="DB4" t="str">
            <v>CELADE 1950-1999 &amp; CGR 2000</v>
          </cell>
          <cell r="DC4" t="str">
            <v>Fórmula</v>
          </cell>
        </row>
        <row r="5">
          <cell r="A5">
            <v>1970</v>
          </cell>
          <cell r="B5">
            <v>20.8</v>
          </cell>
          <cell r="C5">
            <v>65.599999999999994</v>
          </cell>
          <cell r="D5">
            <v>14</v>
          </cell>
          <cell r="E5">
            <v>8.6999999999999993</v>
          </cell>
          <cell r="F5">
            <v>83.5</v>
          </cell>
          <cell r="G5">
            <v>838</v>
          </cell>
          <cell r="H5">
            <v>222.5</v>
          </cell>
          <cell r="I5">
            <v>801.7</v>
          </cell>
          <cell r="J5">
            <v>96.2</v>
          </cell>
          <cell r="K5">
            <v>793.2</v>
          </cell>
          <cell r="L5">
            <v>69.5</v>
          </cell>
          <cell r="M5">
            <v>7</v>
          </cell>
          <cell r="N5">
            <v>91.400000000000091</v>
          </cell>
          <cell r="O5">
            <v>34.200000000000003</v>
          </cell>
          <cell r="P5">
            <v>32.1</v>
          </cell>
          <cell r="Q5">
            <v>25.9</v>
          </cell>
          <cell r="R5">
            <v>208.9</v>
          </cell>
          <cell r="S5">
            <v>597.1</v>
          </cell>
          <cell r="T5">
            <v>710.3</v>
          </cell>
          <cell r="V5">
            <v>42.2</v>
          </cell>
          <cell r="W5">
            <v>139.5</v>
          </cell>
          <cell r="X5">
            <v>163.6</v>
          </cell>
          <cell r="Y5">
            <v>322.89999999999998</v>
          </cell>
          <cell r="AA5">
            <v>4.3</v>
          </cell>
          <cell r="AB5">
            <v>285.10000000000002</v>
          </cell>
          <cell r="AC5">
            <v>48.8</v>
          </cell>
          <cell r="AD5">
            <v>152.69999999999999</v>
          </cell>
          <cell r="AE5">
            <v>360.5</v>
          </cell>
          <cell r="AG5">
            <v>137</v>
          </cell>
          <cell r="AH5">
            <v>273.39999999999998</v>
          </cell>
          <cell r="AI5">
            <v>161.9</v>
          </cell>
          <cell r="AK5">
            <v>632.20000000000005</v>
          </cell>
          <cell r="AN5">
            <v>263.8</v>
          </cell>
          <cell r="AP5">
            <v>82.6</v>
          </cell>
          <cell r="AR5">
            <v>144.19999999999999</v>
          </cell>
          <cell r="AS5">
            <v>1.9</v>
          </cell>
          <cell r="AT5">
            <v>127.3</v>
          </cell>
          <cell r="AU5">
            <v>21.8</v>
          </cell>
          <cell r="AV5">
            <v>68.2</v>
          </cell>
          <cell r="AW5">
            <v>161</v>
          </cell>
          <cell r="AX5">
            <v>61.2</v>
          </cell>
          <cell r="AY5">
            <v>122.1</v>
          </cell>
          <cell r="AZ5">
            <v>72.3</v>
          </cell>
          <cell r="BA5">
            <v>282.3</v>
          </cell>
          <cell r="BB5">
            <v>117.8</v>
          </cell>
          <cell r="BC5">
            <v>36.9</v>
          </cell>
          <cell r="CR5">
            <v>360.5</v>
          </cell>
          <cell r="CS5">
            <v>285.10000000000002</v>
          </cell>
          <cell r="CT5">
            <v>2725.2000000000003</v>
          </cell>
          <cell r="CU5">
            <v>923.6</v>
          </cell>
          <cell r="CV5">
            <v>789.48199999999997</v>
          </cell>
          <cell r="CW5">
            <v>419.822</v>
          </cell>
          <cell r="CX5">
            <v>369.66</v>
          </cell>
          <cell r="CY5">
            <v>1506.307</v>
          </cell>
          <cell r="CZ5">
            <v>716.82500000000005</v>
          </cell>
          <cell r="DA5">
            <v>349.08300000000003</v>
          </cell>
          <cell r="DB5">
            <v>367.74200000000002</v>
          </cell>
          <cell r="DC5">
            <v>6.5575389345533859</v>
          </cell>
        </row>
        <row r="6">
          <cell r="A6">
            <v>1971</v>
          </cell>
          <cell r="B6">
            <v>24.4</v>
          </cell>
          <cell r="C6">
            <v>65.7</v>
          </cell>
          <cell r="D6">
            <v>16.2</v>
          </cell>
          <cell r="E6">
            <v>9.4</v>
          </cell>
          <cell r="F6">
            <v>51.7</v>
          </cell>
          <cell r="G6">
            <v>898.7</v>
          </cell>
          <cell r="H6">
            <v>246.1</v>
          </cell>
          <cell r="I6">
            <v>859.4</v>
          </cell>
          <cell r="J6">
            <v>110.7</v>
          </cell>
          <cell r="K6">
            <v>853.7</v>
          </cell>
          <cell r="L6">
            <v>79.3</v>
          </cell>
          <cell r="M6">
            <v>7.5</v>
          </cell>
          <cell r="N6">
            <v>84</v>
          </cell>
          <cell r="O6">
            <v>31.4</v>
          </cell>
          <cell r="P6">
            <v>29.5</v>
          </cell>
          <cell r="Q6">
            <v>23.8</v>
          </cell>
          <cell r="R6">
            <v>254.5</v>
          </cell>
          <cell r="S6">
            <v>690.6</v>
          </cell>
          <cell r="T6">
            <v>775.4</v>
          </cell>
          <cell r="U6">
            <v>2</v>
          </cell>
          <cell r="V6">
            <v>43</v>
          </cell>
          <cell r="W6">
            <v>149.30000000000001</v>
          </cell>
          <cell r="X6">
            <v>163.4</v>
          </cell>
          <cell r="Y6">
            <v>347.5</v>
          </cell>
          <cell r="AA6">
            <v>4.9000000000000004</v>
          </cell>
          <cell r="AB6">
            <v>303.2</v>
          </cell>
          <cell r="AC6">
            <v>53.3</v>
          </cell>
          <cell r="AD6">
            <v>190.3</v>
          </cell>
          <cell r="AE6">
            <v>394.8</v>
          </cell>
          <cell r="AG6">
            <v>156.1</v>
          </cell>
          <cell r="AH6">
            <v>305.2</v>
          </cell>
          <cell r="AI6">
            <v>172.4</v>
          </cell>
          <cell r="AK6">
            <v>673.6</v>
          </cell>
          <cell r="AN6">
            <v>285.5</v>
          </cell>
          <cell r="AP6">
            <v>90.9</v>
          </cell>
          <cell r="AR6">
            <v>155.19999999999999</v>
          </cell>
          <cell r="AS6">
            <v>2.2000000000000002</v>
          </cell>
          <cell r="AT6">
            <v>135.4</v>
          </cell>
          <cell r="AU6">
            <v>23.8</v>
          </cell>
          <cell r="AV6">
            <v>85</v>
          </cell>
          <cell r="AW6">
            <v>176.3</v>
          </cell>
          <cell r="AX6">
            <v>69.7</v>
          </cell>
          <cell r="AY6">
            <v>136.30000000000001</v>
          </cell>
          <cell r="AZ6">
            <v>77</v>
          </cell>
          <cell r="BA6">
            <v>300.8</v>
          </cell>
          <cell r="BB6">
            <v>127.5</v>
          </cell>
          <cell r="BC6">
            <v>40.6</v>
          </cell>
          <cell r="CR6">
            <v>394.8</v>
          </cell>
          <cell r="CS6">
            <v>303.2</v>
          </cell>
          <cell r="CT6">
            <v>2977.7</v>
          </cell>
          <cell r="CU6">
            <v>1046.4000000000001</v>
          </cell>
          <cell r="CV6">
            <v>807.64499999999998</v>
          </cell>
          <cell r="CW6">
            <v>429.51799999999997</v>
          </cell>
          <cell r="CX6">
            <v>378.12700000000001</v>
          </cell>
          <cell r="CY6">
            <v>1547.32</v>
          </cell>
          <cell r="CZ6">
            <v>739.67499999999995</v>
          </cell>
          <cell r="DA6">
            <v>360.03300000000002</v>
          </cell>
          <cell r="DB6">
            <v>379.642</v>
          </cell>
          <cell r="DC6">
            <v>6.915560460917396</v>
          </cell>
        </row>
        <row r="7">
          <cell r="A7">
            <v>1972</v>
          </cell>
          <cell r="B7">
            <v>28.4</v>
          </cell>
          <cell r="C7">
            <v>65.8</v>
          </cell>
          <cell r="D7">
            <v>18.7</v>
          </cell>
          <cell r="E7">
            <v>9.1</v>
          </cell>
          <cell r="F7">
            <v>39.1</v>
          </cell>
          <cell r="G7">
            <v>1007.4</v>
          </cell>
          <cell r="H7">
            <v>273.2</v>
          </cell>
          <cell r="I7">
            <v>980.4</v>
          </cell>
          <cell r="J7">
            <v>114.7</v>
          </cell>
          <cell r="K7">
            <v>958.6</v>
          </cell>
          <cell r="L7">
            <v>104.1</v>
          </cell>
          <cell r="M7">
            <v>10.1</v>
          </cell>
          <cell r="N7">
            <v>110.60000000000002</v>
          </cell>
          <cell r="O7">
            <v>41.4</v>
          </cell>
          <cell r="P7">
            <v>38.9</v>
          </cell>
          <cell r="Q7">
            <v>31.3</v>
          </cell>
          <cell r="R7">
            <v>300.8</v>
          </cell>
          <cell r="S7">
            <v>792.8</v>
          </cell>
          <cell r="T7">
            <v>869.8</v>
          </cell>
          <cell r="U7">
            <v>5.6</v>
          </cell>
          <cell r="V7">
            <v>45.4</v>
          </cell>
          <cell r="W7">
            <v>170.1</v>
          </cell>
          <cell r="X7">
            <v>226.5</v>
          </cell>
          <cell r="Y7">
            <v>335.9</v>
          </cell>
          <cell r="AA7">
            <v>5.4</v>
          </cell>
          <cell r="AB7">
            <v>317.10000000000002</v>
          </cell>
          <cell r="AC7">
            <v>55.8</v>
          </cell>
          <cell r="AD7">
            <v>194.8</v>
          </cell>
          <cell r="AE7">
            <v>414.7</v>
          </cell>
          <cell r="AG7">
            <v>180.3</v>
          </cell>
          <cell r="AH7">
            <v>336.1</v>
          </cell>
          <cell r="AI7">
            <v>186.8</v>
          </cell>
          <cell r="AK7">
            <v>722.4</v>
          </cell>
          <cell r="AN7">
            <v>310.60000000000002</v>
          </cell>
          <cell r="AP7">
            <v>93.2</v>
          </cell>
          <cell r="AR7">
            <v>150</v>
          </cell>
          <cell r="AS7">
            <v>2.4</v>
          </cell>
          <cell r="AT7">
            <v>141.6</v>
          </cell>
          <cell r="AU7">
            <v>24.9</v>
          </cell>
          <cell r="AV7">
            <v>87</v>
          </cell>
          <cell r="AW7">
            <v>185.2</v>
          </cell>
          <cell r="AX7">
            <v>80.5</v>
          </cell>
          <cell r="AY7">
            <v>150.1</v>
          </cell>
          <cell r="AZ7">
            <v>83.4</v>
          </cell>
          <cell r="BA7">
            <v>322.60000000000002</v>
          </cell>
          <cell r="BB7">
            <v>138.69999999999999</v>
          </cell>
          <cell r="BC7">
            <v>41.6</v>
          </cell>
          <cell r="CR7">
            <v>414.7</v>
          </cell>
          <cell r="CS7">
            <v>317.10000000000002</v>
          </cell>
          <cell r="CT7">
            <v>3153.0999999999995</v>
          </cell>
          <cell r="CU7">
            <v>1125.9000000000001</v>
          </cell>
          <cell r="CV7">
            <v>826.226</v>
          </cell>
          <cell r="CW7">
            <v>439.43799999999999</v>
          </cell>
          <cell r="CX7">
            <v>386.78800000000001</v>
          </cell>
          <cell r="CY7">
            <v>1589.481</v>
          </cell>
          <cell r="CZ7">
            <v>763.255</v>
          </cell>
          <cell r="DA7">
            <v>371.327</v>
          </cell>
          <cell r="DB7">
            <v>391.928</v>
          </cell>
          <cell r="DC7">
            <v>6.7963367952326887</v>
          </cell>
        </row>
        <row r="8">
          <cell r="A8">
            <v>1973</v>
          </cell>
          <cell r="B8">
            <v>31.6</v>
          </cell>
          <cell r="C8">
            <v>67.400000000000006</v>
          </cell>
          <cell r="D8">
            <v>18.7</v>
          </cell>
          <cell r="E8">
            <v>8.6</v>
          </cell>
          <cell r="F8">
            <v>69.3</v>
          </cell>
          <cell r="G8">
            <v>1179</v>
          </cell>
          <cell r="H8">
            <v>307.89999999999998</v>
          </cell>
          <cell r="I8">
            <v>1139.9000000000001</v>
          </cell>
          <cell r="J8">
            <v>128.4</v>
          </cell>
          <cell r="K8">
            <v>1120.7</v>
          </cell>
          <cell r="L8">
            <v>106.9</v>
          </cell>
          <cell r="M8">
            <v>7.3</v>
          </cell>
          <cell r="N8">
            <v>155.9000000000002</v>
          </cell>
          <cell r="O8">
            <v>58.4</v>
          </cell>
          <cell r="P8">
            <v>54.9</v>
          </cell>
          <cell r="Q8">
            <v>44.1</v>
          </cell>
          <cell r="R8">
            <v>336.9</v>
          </cell>
          <cell r="S8">
            <v>880.09999999999991</v>
          </cell>
          <cell r="T8">
            <v>983.99999999999989</v>
          </cell>
          <cell r="U8">
            <v>6.9</v>
          </cell>
          <cell r="V8">
            <v>48.5</v>
          </cell>
          <cell r="W8">
            <v>175.7</v>
          </cell>
          <cell r="X8">
            <v>254.1</v>
          </cell>
          <cell r="Y8">
            <v>339.7</v>
          </cell>
          <cell r="AA8">
            <v>6.5</v>
          </cell>
          <cell r="AB8">
            <v>337</v>
          </cell>
          <cell r="AC8">
            <v>71</v>
          </cell>
          <cell r="AD8">
            <v>223</v>
          </cell>
          <cell r="AE8">
            <v>432.9</v>
          </cell>
          <cell r="AG8">
            <v>203.1</v>
          </cell>
          <cell r="AH8">
            <v>371.1</v>
          </cell>
          <cell r="AI8">
            <v>202</v>
          </cell>
          <cell r="AK8">
            <v>737.9</v>
          </cell>
          <cell r="AN8">
            <v>316.89999999999998</v>
          </cell>
          <cell r="AP8">
            <v>82</v>
          </cell>
          <cell r="AR8">
            <v>151.69</v>
          </cell>
          <cell r="AS8">
            <v>2.9</v>
          </cell>
          <cell r="AT8">
            <v>150.5</v>
          </cell>
          <cell r="AU8">
            <v>31.7</v>
          </cell>
          <cell r="AV8">
            <v>99.6</v>
          </cell>
          <cell r="AW8">
            <v>193.3</v>
          </cell>
          <cell r="AX8">
            <v>90.7</v>
          </cell>
          <cell r="AY8">
            <v>165.7</v>
          </cell>
          <cell r="AZ8">
            <v>90.2</v>
          </cell>
          <cell r="BA8">
            <v>329.5</v>
          </cell>
          <cell r="BB8">
            <v>141.5</v>
          </cell>
          <cell r="BC8">
            <v>36.6</v>
          </cell>
          <cell r="CR8">
            <v>432.9</v>
          </cell>
          <cell r="CS8">
            <v>337</v>
          </cell>
          <cell r="CT8">
            <v>3323.1</v>
          </cell>
          <cell r="CU8">
            <v>1230.0999999999999</v>
          </cell>
          <cell r="CV8">
            <v>845.23399999999992</v>
          </cell>
          <cell r="CW8">
            <v>449.58699999999999</v>
          </cell>
          <cell r="CX8">
            <v>395.64699999999999</v>
          </cell>
          <cell r="CY8">
            <v>1632.82</v>
          </cell>
          <cell r="CZ8">
            <v>787.58600000000001</v>
          </cell>
          <cell r="DA8">
            <v>382.97500000000002</v>
          </cell>
          <cell r="DB8">
            <v>404.61099999999999</v>
          </cell>
          <cell r="DC8">
            <v>6.2572290671360324</v>
          </cell>
        </row>
        <row r="9">
          <cell r="A9">
            <v>1974</v>
          </cell>
          <cell r="B9">
            <v>45.6</v>
          </cell>
          <cell r="C9">
            <v>67.900000000000006</v>
          </cell>
          <cell r="D9">
            <v>19</v>
          </cell>
          <cell r="E9">
            <v>3.5</v>
          </cell>
          <cell r="F9">
            <v>18.399999999999999</v>
          </cell>
          <cell r="G9">
            <v>1198.5</v>
          </cell>
          <cell r="H9">
            <v>340.8</v>
          </cell>
          <cell r="I9">
            <v>1148</v>
          </cell>
          <cell r="J9">
            <v>124.9</v>
          </cell>
          <cell r="K9">
            <v>1130.7</v>
          </cell>
          <cell r="L9">
            <v>120</v>
          </cell>
          <cell r="M9">
            <v>11</v>
          </cell>
          <cell r="N9">
            <v>167.29999999999995</v>
          </cell>
          <cell r="O9">
            <v>62.7</v>
          </cell>
          <cell r="P9">
            <v>58.9</v>
          </cell>
          <cell r="Q9">
            <v>47.3</v>
          </cell>
          <cell r="R9">
            <v>343.1</v>
          </cell>
          <cell r="S9">
            <v>928.80000000000007</v>
          </cell>
          <cell r="T9">
            <v>980.7</v>
          </cell>
          <cell r="U9">
            <v>17.3</v>
          </cell>
          <cell r="V9">
            <v>56.9</v>
          </cell>
          <cell r="W9">
            <v>188.3</v>
          </cell>
          <cell r="X9">
            <v>295.39999999999998</v>
          </cell>
          <cell r="Y9">
            <v>318.7</v>
          </cell>
          <cell r="AA9">
            <v>6</v>
          </cell>
          <cell r="AB9">
            <v>341.5</v>
          </cell>
          <cell r="AC9">
            <v>74.099999999999994</v>
          </cell>
          <cell r="AD9">
            <v>196.8</v>
          </cell>
          <cell r="AE9">
            <v>453.7</v>
          </cell>
          <cell r="AG9">
            <v>264.7</v>
          </cell>
          <cell r="AH9">
            <v>382.3</v>
          </cell>
          <cell r="AI9">
            <v>221.9</v>
          </cell>
          <cell r="AK9">
            <v>785.6</v>
          </cell>
          <cell r="AN9">
            <v>352</v>
          </cell>
          <cell r="AP9">
            <v>62.3</v>
          </cell>
          <cell r="AR9">
            <v>142.30000000000001</v>
          </cell>
          <cell r="AS9">
            <v>2.7</v>
          </cell>
          <cell r="AT9">
            <v>152.5</v>
          </cell>
          <cell r="AU9">
            <v>33.1</v>
          </cell>
          <cell r="AV9">
            <v>87.9</v>
          </cell>
          <cell r="AW9">
            <v>202.6</v>
          </cell>
          <cell r="AX9">
            <v>118.2</v>
          </cell>
          <cell r="AY9">
            <v>170.7</v>
          </cell>
          <cell r="AZ9">
            <v>99.1</v>
          </cell>
          <cell r="BA9">
            <v>350.8</v>
          </cell>
          <cell r="BB9">
            <v>157.19999999999999</v>
          </cell>
          <cell r="BC9">
            <v>27.8</v>
          </cell>
          <cell r="CR9">
            <v>453.7</v>
          </cell>
          <cell r="CS9">
            <v>341.5</v>
          </cell>
          <cell r="CT9">
            <v>3459.6000000000004</v>
          </cell>
          <cell r="CU9">
            <v>1297.5</v>
          </cell>
          <cell r="CV9">
            <v>864.68000000000006</v>
          </cell>
          <cell r="CW9">
            <v>459.971</v>
          </cell>
          <cell r="CX9">
            <v>404.709</v>
          </cell>
          <cell r="CY9">
            <v>1677.373</v>
          </cell>
          <cell r="CZ9">
            <v>812.69299999999998</v>
          </cell>
          <cell r="DA9">
            <v>394.988</v>
          </cell>
          <cell r="DB9">
            <v>417.70499999999998</v>
          </cell>
          <cell r="DC9">
            <v>7.7223273860373398</v>
          </cell>
        </row>
        <row r="10">
          <cell r="A10">
            <v>1975</v>
          </cell>
          <cell r="B10">
            <v>56.4</v>
          </cell>
          <cell r="C10">
            <v>68.8</v>
          </cell>
          <cell r="D10">
            <v>19.899999999999999</v>
          </cell>
          <cell r="E10">
            <v>4.0999999999999996</v>
          </cell>
          <cell r="F10">
            <v>14.7</v>
          </cell>
          <cell r="G10">
            <v>1251.0999999999999</v>
          </cell>
          <cell r="H10">
            <v>351.8</v>
          </cell>
          <cell r="I10">
            <v>1214.3</v>
          </cell>
          <cell r="J10">
            <v>132.69999999999999</v>
          </cell>
          <cell r="K10">
            <v>1184.0999999999999</v>
          </cell>
          <cell r="L10">
            <v>142.1</v>
          </cell>
          <cell r="M10">
            <v>14.3</v>
          </cell>
          <cell r="N10">
            <v>173.29999999999995</v>
          </cell>
          <cell r="O10">
            <v>65</v>
          </cell>
          <cell r="P10">
            <v>61</v>
          </cell>
          <cell r="Q10">
            <v>49</v>
          </cell>
          <cell r="R10">
            <v>361.4</v>
          </cell>
          <cell r="S10">
            <v>988</v>
          </cell>
          <cell r="T10">
            <v>1041</v>
          </cell>
          <cell r="U10">
            <v>5.5</v>
          </cell>
          <cell r="V10">
            <v>60</v>
          </cell>
          <cell r="W10">
            <v>196.6</v>
          </cell>
          <cell r="X10">
            <v>290.10000000000002</v>
          </cell>
          <cell r="Y10">
            <v>338.4</v>
          </cell>
          <cell r="AA10">
            <v>5.6</v>
          </cell>
          <cell r="AB10">
            <v>329.2</v>
          </cell>
          <cell r="AC10">
            <v>85.8</v>
          </cell>
          <cell r="AD10">
            <v>217</v>
          </cell>
          <cell r="AE10">
            <v>427.7</v>
          </cell>
          <cell r="AG10">
            <v>259.8</v>
          </cell>
          <cell r="AH10">
            <v>400.4</v>
          </cell>
          <cell r="AI10">
            <v>231.3</v>
          </cell>
          <cell r="AK10">
            <v>819.1</v>
          </cell>
          <cell r="AN10">
            <v>380.5</v>
          </cell>
          <cell r="AP10">
            <v>46.8</v>
          </cell>
          <cell r="AR10">
            <v>151.1</v>
          </cell>
          <cell r="AS10">
            <v>2.5</v>
          </cell>
          <cell r="AT10">
            <v>147</v>
          </cell>
          <cell r="AU10">
            <v>38.299999999999997</v>
          </cell>
          <cell r="AV10">
            <v>96.9</v>
          </cell>
          <cell r="AW10">
            <v>191</v>
          </cell>
          <cell r="AX10">
            <v>116</v>
          </cell>
          <cell r="AY10">
            <v>178.8</v>
          </cell>
          <cell r="AZ10">
            <v>103.3</v>
          </cell>
          <cell r="BA10">
            <v>365.8</v>
          </cell>
          <cell r="BB10">
            <v>169.9</v>
          </cell>
          <cell r="BC10">
            <v>20.9</v>
          </cell>
          <cell r="CR10">
            <v>427.7</v>
          </cell>
          <cell r="CS10">
            <v>329.2</v>
          </cell>
          <cell r="CT10">
            <v>3541.6000000000004</v>
          </cell>
          <cell r="CU10">
            <v>1304.9000000000001</v>
          </cell>
          <cell r="CV10">
            <v>884.57299999999998</v>
          </cell>
          <cell r="CW10">
            <v>470.59399999999999</v>
          </cell>
          <cell r="CX10">
            <v>413.97899999999998</v>
          </cell>
          <cell r="CY10">
            <v>1723.174</v>
          </cell>
          <cell r="CZ10">
            <v>838.601</v>
          </cell>
          <cell r="DA10">
            <v>407.37900000000002</v>
          </cell>
          <cell r="DB10">
            <v>431.22199999999998</v>
          </cell>
          <cell r="DC10">
            <v>8.5331412103746409</v>
          </cell>
        </row>
        <row r="11">
          <cell r="A11">
            <v>1976</v>
          </cell>
          <cell r="B11">
            <v>63</v>
          </cell>
          <cell r="C11">
            <v>66.2</v>
          </cell>
          <cell r="D11">
            <v>20.8</v>
          </cell>
          <cell r="E11">
            <v>4.5999999999999996</v>
          </cell>
          <cell r="F11">
            <v>38.6</v>
          </cell>
          <cell r="G11">
            <v>1408.1</v>
          </cell>
          <cell r="H11">
            <v>364.2</v>
          </cell>
          <cell r="I11">
            <v>1348.7</v>
          </cell>
          <cell r="J11">
            <v>129.1</v>
          </cell>
          <cell r="K11">
            <v>1339.6</v>
          </cell>
          <cell r="L11">
            <v>177.8</v>
          </cell>
          <cell r="M11">
            <v>14.6</v>
          </cell>
          <cell r="N11">
            <v>205.60000000000014</v>
          </cell>
          <cell r="O11">
            <v>77.099999999999994</v>
          </cell>
          <cell r="P11">
            <v>72.400000000000006</v>
          </cell>
          <cell r="Q11">
            <v>58.1</v>
          </cell>
          <cell r="R11">
            <v>393.4</v>
          </cell>
          <cell r="S11">
            <v>1064.5</v>
          </cell>
          <cell r="T11">
            <v>1143.0999999999999</v>
          </cell>
          <cell r="U11">
            <v>4</v>
          </cell>
          <cell r="V11">
            <v>62.4</v>
          </cell>
          <cell r="W11">
            <v>227.6</v>
          </cell>
          <cell r="X11">
            <v>466.3</v>
          </cell>
          <cell r="Y11">
            <v>358.1</v>
          </cell>
          <cell r="AA11">
            <v>4.9000000000000004</v>
          </cell>
          <cell r="AB11">
            <v>337.5</v>
          </cell>
          <cell r="AC11">
            <v>95.4</v>
          </cell>
          <cell r="AD11">
            <v>223</v>
          </cell>
          <cell r="AE11">
            <v>443.2</v>
          </cell>
          <cell r="AG11">
            <v>245.7</v>
          </cell>
          <cell r="AH11">
            <v>412.5</v>
          </cell>
          <cell r="AI11">
            <v>240.5</v>
          </cell>
          <cell r="AK11">
            <v>817.8</v>
          </cell>
          <cell r="AN11">
            <v>385.4</v>
          </cell>
          <cell r="AP11">
            <v>48.6</v>
          </cell>
          <cell r="AR11">
            <v>159.9</v>
          </cell>
          <cell r="AS11">
            <v>2.2000000000000002</v>
          </cell>
          <cell r="AT11">
            <v>150.69999999999999</v>
          </cell>
          <cell r="AU11">
            <v>42.6</v>
          </cell>
          <cell r="AV11">
            <v>99.6</v>
          </cell>
          <cell r="AW11">
            <v>197.9</v>
          </cell>
          <cell r="AX11">
            <v>109.7</v>
          </cell>
          <cell r="AY11">
            <v>184.2</v>
          </cell>
          <cell r="AZ11">
            <v>107.4</v>
          </cell>
          <cell r="BA11">
            <v>365.2</v>
          </cell>
          <cell r="BB11">
            <v>172.1</v>
          </cell>
          <cell r="BC11">
            <v>21.7</v>
          </cell>
          <cell r="CR11">
            <v>443.2</v>
          </cell>
          <cell r="CS11">
            <v>337.5</v>
          </cell>
          <cell r="CT11">
            <v>3612.6000000000004</v>
          </cell>
          <cell r="CU11">
            <v>1324.4</v>
          </cell>
          <cell r="CV11">
            <v>902.86899999999991</v>
          </cell>
          <cell r="CW11">
            <v>480.34899999999999</v>
          </cell>
          <cell r="CX11">
            <v>422.52</v>
          </cell>
          <cell r="CY11">
            <v>1766.1999999999998</v>
          </cell>
          <cell r="CZ11">
            <v>863.3309999999999</v>
          </cell>
          <cell r="DA11">
            <v>419.17599999999999</v>
          </cell>
          <cell r="DB11">
            <v>444.15499999999997</v>
          </cell>
          <cell r="DC11">
            <v>8.3464835837769105</v>
          </cell>
        </row>
        <row r="12">
          <cell r="A12">
            <v>1977</v>
          </cell>
          <cell r="B12">
            <v>83.7</v>
          </cell>
          <cell r="C12">
            <v>68.900000000000006</v>
          </cell>
          <cell r="D12">
            <v>22.9</v>
          </cell>
          <cell r="E12">
            <v>5.2</v>
          </cell>
          <cell r="F12">
            <v>93.8</v>
          </cell>
          <cell r="G12">
            <v>1486.5</v>
          </cell>
          <cell r="H12">
            <v>396.6</v>
          </cell>
          <cell r="I12">
            <v>1450.3</v>
          </cell>
          <cell r="J12">
            <v>127.9</v>
          </cell>
          <cell r="K12">
            <v>1432.9</v>
          </cell>
          <cell r="L12">
            <v>196.5</v>
          </cell>
          <cell r="M12">
            <v>14.7</v>
          </cell>
          <cell r="N12">
            <v>190.20000000000005</v>
          </cell>
          <cell r="O12">
            <v>71.3</v>
          </cell>
          <cell r="P12">
            <v>67</v>
          </cell>
          <cell r="Q12">
            <v>53.7</v>
          </cell>
          <cell r="R12">
            <v>402.5</v>
          </cell>
          <cell r="S12">
            <v>1123.5</v>
          </cell>
          <cell r="T12">
            <v>1260.0999999999999</v>
          </cell>
          <cell r="U12">
            <v>4.8</v>
          </cell>
          <cell r="V12">
            <v>65.400000000000006</v>
          </cell>
          <cell r="W12">
            <v>235.7</v>
          </cell>
          <cell r="X12">
            <v>465.7</v>
          </cell>
          <cell r="Y12">
            <v>375.5</v>
          </cell>
          <cell r="AA12">
            <v>4.7</v>
          </cell>
          <cell r="AB12">
            <v>341.5</v>
          </cell>
          <cell r="AC12">
            <v>98.5</v>
          </cell>
          <cell r="AD12">
            <v>165.3</v>
          </cell>
          <cell r="AE12">
            <v>453</v>
          </cell>
          <cell r="AG12">
            <v>272.3</v>
          </cell>
          <cell r="AH12">
            <v>434</v>
          </cell>
          <cell r="AI12">
            <v>246.8</v>
          </cell>
          <cell r="AK12">
            <v>849.4</v>
          </cell>
          <cell r="AN12">
            <v>406.9</v>
          </cell>
          <cell r="AP12">
            <v>45</v>
          </cell>
          <cell r="AR12">
            <v>167.7</v>
          </cell>
          <cell r="AS12">
            <v>2.1</v>
          </cell>
          <cell r="AT12">
            <v>152.5</v>
          </cell>
          <cell r="AU12">
            <v>44</v>
          </cell>
          <cell r="AV12">
            <v>73.8</v>
          </cell>
          <cell r="AW12">
            <v>202.3</v>
          </cell>
          <cell r="AX12">
            <v>121.6</v>
          </cell>
          <cell r="AY12">
            <v>193.8</v>
          </cell>
          <cell r="AZ12">
            <v>110.2</v>
          </cell>
          <cell r="BA12">
            <v>379.3</v>
          </cell>
          <cell r="BB12">
            <v>181.7</v>
          </cell>
          <cell r="BC12">
            <v>20.100000000000001</v>
          </cell>
          <cell r="CR12">
            <v>453</v>
          </cell>
          <cell r="CS12">
            <v>341.5</v>
          </cell>
          <cell r="CT12">
            <v>3692.9000000000005</v>
          </cell>
          <cell r="CU12">
            <v>1324.6</v>
          </cell>
          <cell r="CV12">
            <v>921.54300000000001</v>
          </cell>
          <cell r="CW12">
            <v>490.30599999999998</v>
          </cell>
          <cell r="CX12">
            <v>431.23700000000002</v>
          </cell>
          <cell r="CY12">
            <v>1810.3340000000001</v>
          </cell>
          <cell r="CZ12">
            <v>888.79099999999994</v>
          </cell>
          <cell r="DA12">
            <v>431.315</v>
          </cell>
          <cell r="DB12">
            <v>457.476</v>
          </cell>
          <cell r="DC12">
            <v>9.5978621181222703</v>
          </cell>
        </row>
        <row r="13">
          <cell r="A13">
            <v>1978</v>
          </cell>
          <cell r="B13">
            <v>92.5</v>
          </cell>
          <cell r="C13">
            <v>64.5</v>
          </cell>
          <cell r="D13">
            <v>23.8</v>
          </cell>
          <cell r="E13">
            <v>7.5</v>
          </cell>
          <cell r="F13">
            <v>23.1</v>
          </cell>
          <cell r="G13">
            <v>1501.7</v>
          </cell>
          <cell r="H13">
            <v>419.1</v>
          </cell>
          <cell r="I13">
            <v>1469.1</v>
          </cell>
          <cell r="J13">
            <v>142.5</v>
          </cell>
          <cell r="K13">
            <v>1458.7</v>
          </cell>
          <cell r="L13">
            <v>223.5</v>
          </cell>
          <cell r="M13">
            <v>15.6</v>
          </cell>
          <cell r="N13">
            <v>200.89999999999986</v>
          </cell>
          <cell r="O13">
            <v>75.3</v>
          </cell>
          <cell r="P13">
            <v>70.8</v>
          </cell>
          <cell r="Q13">
            <v>56.7</v>
          </cell>
          <cell r="R13">
            <v>413.1</v>
          </cell>
          <cell r="S13">
            <v>1198.2</v>
          </cell>
          <cell r="T13">
            <v>1268.2</v>
          </cell>
          <cell r="U13">
            <v>4.4000000000000004</v>
          </cell>
          <cell r="V13">
            <v>68.3</v>
          </cell>
          <cell r="W13">
            <v>252.1</v>
          </cell>
          <cell r="X13">
            <v>487</v>
          </cell>
          <cell r="Y13">
            <v>404.6</v>
          </cell>
          <cell r="AA13">
            <v>4.9000000000000004</v>
          </cell>
          <cell r="AB13">
            <v>346.9</v>
          </cell>
          <cell r="AC13">
            <v>104.6</v>
          </cell>
          <cell r="AD13">
            <v>229.5</v>
          </cell>
          <cell r="AE13">
            <v>491.8</v>
          </cell>
          <cell r="AG13">
            <v>324.89999999999998</v>
          </cell>
          <cell r="AH13">
            <v>447.2</v>
          </cell>
          <cell r="AI13">
            <v>255.7</v>
          </cell>
          <cell r="AK13">
            <v>890.8</v>
          </cell>
          <cell r="AN13">
            <v>420.1</v>
          </cell>
          <cell r="AP13">
            <v>59.3</v>
          </cell>
          <cell r="AR13">
            <v>180.7</v>
          </cell>
          <cell r="AS13">
            <v>2.2000000000000002</v>
          </cell>
          <cell r="AT13">
            <v>154.9</v>
          </cell>
          <cell r="AU13">
            <v>46.7</v>
          </cell>
          <cell r="AV13">
            <v>102.5</v>
          </cell>
          <cell r="AW13">
            <v>219.6</v>
          </cell>
          <cell r="AX13">
            <v>145.1</v>
          </cell>
          <cell r="AY13">
            <v>199.7</v>
          </cell>
          <cell r="AZ13">
            <v>114.2</v>
          </cell>
          <cell r="BA13">
            <v>397.8</v>
          </cell>
          <cell r="BB13">
            <v>187.6</v>
          </cell>
          <cell r="BC13">
            <v>26.5</v>
          </cell>
          <cell r="CR13">
            <v>491.8</v>
          </cell>
          <cell r="CS13">
            <v>346.9</v>
          </cell>
          <cell r="CT13">
            <v>3980.2999999999997</v>
          </cell>
          <cell r="CU13">
            <v>1493.3999999999999</v>
          </cell>
          <cell r="CV13">
            <v>940.60300000000007</v>
          </cell>
          <cell r="CW13">
            <v>500.46899999999999</v>
          </cell>
          <cell r="CX13">
            <v>440.13400000000001</v>
          </cell>
          <cell r="CY13">
            <v>1855.604</v>
          </cell>
          <cell r="CZ13">
            <v>915.00099999999998</v>
          </cell>
          <cell r="DA13">
            <v>443.80500000000001</v>
          </cell>
          <cell r="DB13">
            <v>471.19600000000003</v>
          </cell>
          <cell r="DC13">
            <v>10.091717593305599</v>
          </cell>
        </row>
        <row r="14">
          <cell r="A14">
            <v>1979</v>
          </cell>
          <cell r="B14">
            <v>111.1</v>
          </cell>
          <cell r="C14">
            <v>68.5</v>
          </cell>
          <cell r="D14">
            <v>25.8</v>
          </cell>
          <cell r="E14">
            <v>9.4</v>
          </cell>
          <cell r="F14">
            <v>128</v>
          </cell>
          <cell r="G14">
            <v>1775.2</v>
          </cell>
          <cell r="H14">
            <v>445</v>
          </cell>
          <cell r="I14">
            <v>1724</v>
          </cell>
          <cell r="J14">
            <v>161.80000000000001</v>
          </cell>
          <cell r="K14">
            <v>1718.1</v>
          </cell>
          <cell r="L14">
            <v>250.2</v>
          </cell>
          <cell r="M14">
            <v>16</v>
          </cell>
          <cell r="N14">
            <v>243.09999999999991</v>
          </cell>
          <cell r="O14">
            <v>91.1</v>
          </cell>
          <cell r="P14">
            <v>85.7</v>
          </cell>
          <cell r="Q14">
            <v>68.599999999999994</v>
          </cell>
          <cell r="R14">
            <v>444.7</v>
          </cell>
          <cell r="S14">
            <v>1301.7</v>
          </cell>
          <cell r="T14">
            <v>1480.9</v>
          </cell>
          <cell r="U14">
            <v>8</v>
          </cell>
          <cell r="V14">
            <v>73.8</v>
          </cell>
          <cell r="W14">
            <v>285.39999999999998</v>
          </cell>
          <cell r="X14">
            <v>538.5</v>
          </cell>
          <cell r="Y14">
            <v>384.7</v>
          </cell>
          <cell r="AA14">
            <v>5.4</v>
          </cell>
          <cell r="AB14">
            <v>385.2</v>
          </cell>
          <cell r="AC14">
            <v>117.3</v>
          </cell>
          <cell r="AD14">
            <v>229.3</v>
          </cell>
          <cell r="AE14">
            <v>539.5</v>
          </cell>
          <cell r="AG14">
            <v>348</v>
          </cell>
          <cell r="AH14">
            <v>499.1</v>
          </cell>
          <cell r="AI14">
            <v>264.7</v>
          </cell>
          <cell r="AK14">
            <v>933.8</v>
          </cell>
          <cell r="AN14">
            <v>440</v>
          </cell>
          <cell r="AP14">
            <v>58.9</v>
          </cell>
          <cell r="AR14">
            <v>171.8</v>
          </cell>
          <cell r="AS14">
            <v>2.4</v>
          </cell>
          <cell r="AT14">
            <v>172</v>
          </cell>
          <cell r="AU14">
            <v>52.4</v>
          </cell>
          <cell r="AV14">
            <v>102.4</v>
          </cell>
          <cell r="AW14">
            <v>240.9</v>
          </cell>
          <cell r="AX14">
            <v>155.4</v>
          </cell>
          <cell r="AY14">
            <v>222.9</v>
          </cell>
          <cell r="AZ14">
            <v>118.2</v>
          </cell>
          <cell r="BA14">
            <v>417</v>
          </cell>
          <cell r="BB14">
            <v>196.5</v>
          </cell>
          <cell r="BC14">
            <v>26.3</v>
          </cell>
          <cell r="CR14">
            <v>539.5</v>
          </cell>
          <cell r="CS14">
            <v>385.2</v>
          </cell>
          <cell r="CT14">
            <v>4205.8999999999996</v>
          </cell>
          <cell r="CU14">
            <v>1615.9</v>
          </cell>
          <cell r="CV14">
            <v>960.05700000000002</v>
          </cell>
          <cell r="CW14">
            <v>510.84300000000002</v>
          </cell>
          <cell r="CX14">
            <v>449.214</v>
          </cell>
          <cell r="CY14">
            <v>1902.0419999999999</v>
          </cell>
          <cell r="CZ14">
            <v>941.9849999999999</v>
          </cell>
          <cell r="DA14">
            <v>456.65699999999998</v>
          </cell>
          <cell r="DB14">
            <v>485.32799999999997</v>
          </cell>
          <cell r="DC14">
            <v>9.6064687097002643</v>
          </cell>
        </row>
        <row r="15">
          <cell r="A15">
            <v>1980</v>
          </cell>
          <cell r="B15">
            <v>143.4</v>
          </cell>
          <cell r="C15">
            <v>65.5</v>
          </cell>
          <cell r="D15">
            <v>31</v>
          </cell>
          <cell r="E15">
            <v>9.6</v>
          </cell>
          <cell r="F15">
            <v>16</v>
          </cell>
          <cell r="G15">
            <v>1811.7</v>
          </cell>
          <cell r="H15">
            <v>479.2</v>
          </cell>
          <cell r="I15">
            <v>1756.5</v>
          </cell>
          <cell r="J15">
            <v>184.4</v>
          </cell>
          <cell r="K15">
            <v>1754.4</v>
          </cell>
          <cell r="L15">
            <v>281.2</v>
          </cell>
          <cell r="M15">
            <v>13.9</v>
          </cell>
          <cell r="N15">
            <v>284.20000000000027</v>
          </cell>
          <cell r="O15">
            <v>125</v>
          </cell>
          <cell r="P15">
            <v>88</v>
          </cell>
          <cell r="Q15">
            <v>70</v>
          </cell>
          <cell r="R15">
            <v>457</v>
          </cell>
          <cell r="S15">
            <v>1401.8</v>
          </cell>
          <cell r="T15">
            <v>1472.2999999999997</v>
          </cell>
          <cell r="U15">
            <v>14.2</v>
          </cell>
          <cell r="V15">
            <v>84.3</v>
          </cell>
          <cell r="W15">
            <v>305.5</v>
          </cell>
          <cell r="X15">
            <v>514.34</v>
          </cell>
          <cell r="Y15">
            <v>306.39999999999998</v>
          </cell>
          <cell r="Z15">
            <v>34.299999999999997</v>
          </cell>
          <cell r="AA15">
            <v>6.2</v>
          </cell>
          <cell r="AB15">
            <v>428.9</v>
          </cell>
          <cell r="AC15">
            <v>123.3</v>
          </cell>
          <cell r="AD15">
            <v>241.4</v>
          </cell>
          <cell r="AE15">
            <v>793.5</v>
          </cell>
          <cell r="AF15">
            <v>75.3</v>
          </cell>
          <cell r="AG15">
            <v>547.5</v>
          </cell>
          <cell r="AH15">
            <v>515</v>
          </cell>
          <cell r="AI15">
            <v>374.1</v>
          </cell>
          <cell r="AJ15">
            <v>20.399999999999999</v>
          </cell>
          <cell r="AK15">
            <v>62.7</v>
          </cell>
          <cell r="AL15">
            <v>131.6</v>
          </cell>
          <cell r="AM15">
            <v>-133.5</v>
          </cell>
          <cell r="AN15">
            <v>478</v>
          </cell>
          <cell r="AO15">
            <v>26.5</v>
          </cell>
          <cell r="AP15">
            <v>89.3</v>
          </cell>
          <cell r="AQ15">
            <v>20.6</v>
          </cell>
          <cell r="BD15">
            <v>306.39999999999998</v>
          </cell>
          <cell r="BE15">
            <v>34.299999999999997</v>
          </cell>
          <cell r="BF15">
            <v>6.2</v>
          </cell>
          <cell r="BG15">
            <v>428.9</v>
          </cell>
          <cell r="BH15">
            <v>123.3</v>
          </cell>
          <cell r="BI15">
            <v>241.4</v>
          </cell>
          <cell r="BJ15">
            <v>793.5</v>
          </cell>
          <cell r="BK15">
            <v>75.3</v>
          </cell>
          <cell r="BL15">
            <v>547.5</v>
          </cell>
          <cell r="BM15">
            <v>515</v>
          </cell>
          <cell r="BN15">
            <v>374.1</v>
          </cell>
          <cell r="BO15">
            <v>20.399999999999999</v>
          </cell>
          <cell r="BP15">
            <v>62.7</v>
          </cell>
          <cell r="BQ15">
            <v>131.6</v>
          </cell>
          <cell r="BR15">
            <v>-133.5</v>
          </cell>
          <cell r="BS15">
            <v>478</v>
          </cell>
          <cell r="BT15">
            <v>26.5</v>
          </cell>
          <cell r="BU15">
            <v>89.3</v>
          </cell>
          <cell r="BV15">
            <v>20.6</v>
          </cell>
          <cell r="CR15">
            <v>868.8</v>
          </cell>
          <cell r="CS15">
            <v>428.9</v>
          </cell>
          <cell r="CT15">
            <v>4141.5</v>
          </cell>
          <cell r="CU15">
            <v>2172.6999999999998</v>
          </cell>
          <cell r="CV15">
            <v>979.91200000000003</v>
          </cell>
          <cell r="CW15">
            <v>521.43100000000004</v>
          </cell>
          <cell r="CX15">
            <v>458.48099999999999</v>
          </cell>
          <cell r="CY15">
            <v>1949.6769999999999</v>
          </cell>
          <cell r="CZ15">
            <v>969.76499999999999</v>
          </cell>
          <cell r="DA15">
            <v>469.88200000000001</v>
          </cell>
          <cell r="DB15">
            <v>499.88299999999998</v>
          </cell>
          <cell r="DC15">
            <v>10.918351537031539</v>
          </cell>
        </row>
        <row r="16">
          <cell r="A16">
            <v>1981</v>
          </cell>
          <cell r="B16">
            <v>164.3</v>
          </cell>
          <cell r="C16">
            <v>66.5</v>
          </cell>
          <cell r="D16">
            <v>32.799999999999997</v>
          </cell>
          <cell r="E16">
            <v>10.8</v>
          </cell>
          <cell r="F16">
            <v>46.5</v>
          </cell>
          <cell r="G16">
            <v>1897.2</v>
          </cell>
          <cell r="H16">
            <v>498</v>
          </cell>
          <cell r="I16">
            <v>1863.5</v>
          </cell>
          <cell r="J16">
            <v>188.4</v>
          </cell>
          <cell r="K16">
            <v>1855.1</v>
          </cell>
          <cell r="L16">
            <v>287.39999999999998</v>
          </cell>
          <cell r="M16">
            <v>15.8</v>
          </cell>
          <cell r="N16">
            <v>309.19999999999982</v>
          </cell>
          <cell r="O16">
            <v>136</v>
          </cell>
          <cell r="P16">
            <v>95.7</v>
          </cell>
          <cell r="Q16">
            <v>76.2</v>
          </cell>
          <cell r="R16">
            <v>474.6</v>
          </cell>
          <cell r="S16">
            <v>1448.4</v>
          </cell>
          <cell r="T16">
            <v>1554.3000000000002</v>
          </cell>
          <cell r="U16">
            <v>7.5</v>
          </cell>
          <cell r="V16">
            <v>90.6</v>
          </cell>
          <cell r="W16">
            <v>319.89999999999998</v>
          </cell>
          <cell r="X16">
            <v>516.84</v>
          </cell>
          <cell r="Y16">
            <v>343.5</v>
          </cell>
          <cell r="Z16">
            <v>32</v>
          </cell>
          <cell r="AA16">
            <v>5.8</v>
          </cell>
          <cell r="AB16">
            <v>418</v>
          </cell>
          <cell r="AC16">
            <v>144.9</v>
          </cell>
          <cell r="AD16">
            <v>276</v>
          </cell>
          <cell r="AE16">
            <v>864.1</v>
          </cell>
          <cell r="AF16">
            <v>74.099999999999994</v>
          </cell>
          <cell r="AG16">
            <v>605.1</v>
          </cell>
          <cell r="AH16">
            <v>631.9</v>
          </cell>
          <cell r="AI16">
            <v>417.9</v>
          </cell>
          <cell r="AJ16">
            <v>21.6</v>
          </cell>
          <cell r="AK16">
            <v>66.2</v>
          </cell>
          <cell r="AL16">
            <v>135.80000000000001</v>
          </cell>
          <cell r="AM16">
            <v>-178</v>
          </cell>
          <cell r="AN16">
            <v>523.1</v>
          </cell>
          <cell r="AO16">
            <v>29.5</v>
          </cell>
          <cell r="AP16">
            <v>85.8</v>
          </cell>
          <cell r="AQ16">
            <v>25.5</v>
          </cell>
          <cell r="BD16">
            <v>343.5</v>
          </cell>
          <cell r="BE16">
            <v>32</v>
          </cell>
          <cell r="BF16">
            <v>5.8</v>
          </cell>
          <cell r="BG16">
            <v>418</v>
          </cell>
          <cell r="BH16">
            <v>144.9</v>
          </cell>
          <cell r="BI16">
            <v>276</v>
          </cell>
          <cell r="BJ16">
            <v>864.1</v>
          </cell>
          <cell r="BK16">
            <v>74.099999999999994</v>
          </cell>
          <cell r="BL16">
            <v>605.1</v>
          </cell>
          <cell r="BM16">
            <v>631.9</v>
          </cell>
          <cell r="BN16">
            <v>417.9</v>
          </cell>
          <cell r="BO16">
            <v>21.6</v>
          </cell>
          <cell r="BP16">
            <v>66.2</v>
          </cell>
          <cell r="BQ16">
            <v>135.80000000000001</v>
          </cell>
          <cell r="BR16">
            <v>-178</v>
          </cell>
          <cell r="BS16">
            <v>523.1</v>
          </cell>
          <cell r="BT16">
            <v>29.5</v>
          </cell>
          <cell r="BU16">
            <v>85.8</v>
          </cell>
          <cell r="BV16">
            <v>25.5</v>
          </cell>
          <cell r="CR16">
            <v>938.2</v>
          </cell>
          <cell r="CS16">
            <v>418</v>
          </cell>
          <cell r="CT16">
            <v>4522.8</v>
          </cell>
          <cell r="CU16">
            <v>2451.1999999999998</v>
          </cell>
          <cell r="CV16">
            <v>992.78300000000002</v>
          </cell>
          <cell r="CW16">
            <v>528.16399999999999</v>
          </cell>
          <cell r="CX16">
            <v>464.61900000000003</v>
          </cell>
          <cell r="CY16">
            <v>1991.1399999999999</v>
          </cell>
          <cell r="CZ16">
            <v>998.35699999999997</v>
          </cell>
          <cell r="DA16">
            <v>483.86700000000002</v>
          </cell>
          <cell r="DB16">
            <v>514.49</v>
          </cell>
          <cell r="DC16">
            <v>11.025703953952993</v>
          </cell>
        </row>
        <row r="17">
          <cell r="A17">
            <v>1982</v>
          </cell>
          <cell r="B17">
            <v>191.7</v>
          </cell>
          <cell r="C17">
            <v>63.9</v>
          </cell>
          <cell r="D17">
            <v>34.700000000000003</v>
          </cell>
          <cell r="E17">
            <v>12.3</v>
          </cell>
          <cell r="F17">
            <v>51.4</v>
          </cell>
          <cell r="G17">
            <v>2088</v>
          </cell>
          <cell r="H17">
            <v>532</v>
          </cell>
          <cell r="I17">
            <v>2030.5</v>
          </cell>
          <cell r="J17">
            <v>218</v>
          </cell>
          <cell r="K17">
            <v>2027</v>
          </cell>
          <cell r="L17">
            <v>311.3</v>
          </cell>
          <cell r="M17">
            <v>16.100000000000001</v>
          </cell>
          <cell r="N17">
            <v>355.70000000000005</v>
          </cell>
          <cell r="O17">
            <v>156.5</v>
          </cell>
          <cell r="P17">
            <v>110.1</v>
          </cell>
          <cell r="Q17">
            <v>87.7</v>
          </cell>
          <cell r="R17">
            <v>499</v>
          </cell>
          <cell r="S17">
            <v>1560.3</v>
          </cell>
          <cell r="T17">
            <v>1674.8</v>
          </cell>
          <cell r="U17">
            <v>4.3</v>
          </cell>
          <cell r="V17">
            <v>94.5</v>
          </cell>
          <cell r="W17">
            <v>362.2</v>
          </cell>
          <cell r="X17">
            <v>517.01499999999999</v>
          </cell>
          <cell r="Y17">
            <v>347.4</v>
          </cell>
          <cell r="Z17">
            <v>30.9</v>
          </cell>
          <cell r="AA17">
            <v>5.6</v>
          </cell>
          <cell r="AB17">
            <v>433</v>
          </cell>
          <cell r="AC17">
            <v>139</v>
          </cell>
          <cell r="AD17">
            <v>308.2</v>
          </cell>
          <cell r="AE17">
            <v>804.6</v>
          </cell>
          <cell r="AF17">
            <v>70.099999999999994</v>
          </cell>
          <cell r="AG17">
            <v>671.7</v>
          </cell>
          <cell r="AH17">
            <v>818.7</v>
          </cell>
          <cell r="AI17">
            <v>456.3</v>
          </cell>
          <cell r="AJ17">
            <v>22.9</v>
          </cell>
          <cell r="AK17">
            <v>67.900000000000006</v>
          </cell>
          <cell r="AL17">
            <v>148.9</v>
          </cell>
          <cell r="AM17">
            <v>-235.7</v>
          </cell>
          <cell r="AN17">
            <v>532.20000000000005</v>
          </cell>
          <cell r="AO17">
            <v>30.1</v>
          </cell>
          <cell r="AP17">
            <v>91.1</v>
          </cell>
          <cell r="AQ17">
            <v>21.8</v>
          </cell>
          <cell r="BD17">
            <v>347.4</v>
          </cell>
          <cell r="BE17">
            <v>30.9</v>
          </cell>
          <cell r="BF17">
            <v>5.6</v>
          </cell>
          <cell r="BG17">
            <v>433</v>
          </cell>
          <cell r="BH17">
            <v>139</v>
          </cell>
          <cell r="BI17">
            <v>308.2</v>
          </cell>
          <cell r="BJ17">
            <v>804.6</v>
          </cell>
          <cell r="BK17">
            <v>70.099999999999994</v>
          </cell>
          <cell r="BL17">
            <v>671.7</v>
          </cell>
          <cell r="BM17">
            <v>818.7</v>
          </cell>
          <cell r="BN17">
            <v>456.3</v>
          </cell>
          <cell r="BO17">
            <v>22.9</v>
          </cell>
          <cell r="BP17">
            <v>67.900000000000006</v>
          </cell>
          <cell r="BQ17">
            <v>148.9</v>
          </cell>
          <cell r="BR17">
            <v>-235.7</v>
          </cell>
          <cell r="BS17">
            <v>532.20000000000005</v>
          </cell>
          <cell r="BT17">
            <v>30.1</v>
          </cell>
          <cell r="BU17">
            <v>91.1</v>
          </cell>
          <cell r="BV17">
            <v>21.8</v>
          </cell>
          <cell r="CR17">
            <v>874.7</v>
          </cell>
          <cell r="CS17">
            <v>433</v>
          </cell>
          <cell r="CT17">
            <v>4764.7</v>
          </cell>
          <cell r="CU17">
            <v>2673.3</v>
          </cell>
          <cell r="CV17">
            <v>1005.8230000000001</v>
          </cell>
          <cell r="CW17">
            <v>534.98400000000004</v>
          </cell>
          <cell r="CX17">
            <v>470.839</v>
          </cell>
          <cell r="CY17">
            <v>2033.6149999999998</v>
          </cell>
          <cell r="CZ17">
            <v>1027.7919999999999</v>
          </cell>
          <cell r="DA17">
            <v>498.26799999999997</v>
          </cell>
          <cell r="DB17">
            <v>529.524</v>
          </cell>
          <cell r="DC17">
            <v>11.446142823023646</v>
          </cell>
        </row>
        <row r="18">
          <cell r="A18">
            <v>1983</v>
          </cell>
          <cell r="B18">
            <v>230.3</v>
          </cell>
          <cell r="C18">
            <v>66.8</v>
          </cell>
          <cell r="D18">
            <v>36.799999999999997</v>
          </cell>
          <cell r="E18">
            <v>12.7</v>
          </cell>
          <cell r="F18">
            <v>132.80000000000001</v>
          </cell>
          <cell r="G18">
            <v>2238.1999999999998</v>
          </cell>
          <cell r="H18">
            <v>567.9</v>
          </cell>
          <cell r="I18">
            <v>2193.5</v>
          </cell>
          <cell r="J18">
            <v>218.8</v>
          </cell>
          <cell r="K18">
            <v>2170.6999999999998</v>
          </cell>
          <cell r="L18">
            <v>337.2</v>
          </cell>
          <cell r="M18">
            <v>16.5</v>
          </cell>
          <cell r="N18">
            <v>342.90000000000009</v>
          </cell>
          <cell r="O18">
            <v>150.9</v>
          </cell>
          <cell r="P18">
            <v>106.1</v>
          </cell>
          <cell r="Q18">
            <v>84.5</v>
          </cell>
          <cell r="R18">
            <v>527.9</v>
          </cell>
          <cell r="S18">
            <v>1651.8000000000002</v>
          </cell>
          <cell r="T18">
            <v>1850.6</v>
          </cell>
          <cell r="U18">
            <v>2.2000000000000002</v>
          </cell>
          <cell r="V18">
            <v>96.6</v>
          </cell>
          <cell r="W18">
            <v>375</v>
          </cell>
          <cell r="X18">
            <v>540.76499999999999</v>
          </cell>
          <cell r="Y18">
            <v>374.9</v>
          </cell>
          <cell r="Z18">
            <v>30.7</v>
          </cell>
          <cell r="AA18">
            <v>6.2</v>
          </cell>
          <cell r="AB18">
            <v>423.7</v>
          </cell>
          <cell r="AC18">
            <v>116.5</v>
          </cell>
          <cell r="AD18">
            <v>210.9</v>
          </cell>
          <cell r="AE18">
            <v>703.6</v>
          </cell>
          <cell r="AF18">
            <v>68.900000000000006</v>
          </cell>
          <cell r="AG18">
            <v>659.5</v>
          </cell>
          <cell r="AH18">
            <v>827.5</v>
          </cell>
          <cell r="AI18">
            <v>486.8</v>
          </cell>
          <cell r="AJ18">
            <v>23.3</v>
          </cell>
          <cell r="AK18">
            <v>70</v>
          </cell>
          <cell r="AL18">
            <v>152.4</v>
          </cell>
          <cell r="AM18">
            <v>-331.1</v>
          </cell>
          <cell r="AN18">
            <v>575.4</v>
          </cell>
          <cell r="AO18">
            <v>30.7</v>
          </cell>
          <cell r="AP18">
            <v>97</v>
          </cell>
          <cell r="AQ18">
            <v>23.8</v>
          </cell>
          <cell r="BD18">
            <v>374.9</v>
          </cell>
          <cell r="BE18">
            <v>30.7</v>
          </cell>
          <cell r="BF18">
            <v>6.2</v>
          </cell>
          <cell r="BG18">
            <v>423.7</v>
          </cell>
          <cell r="BH18">
            <v>116.5</v>
          </cell>
          <cell r="BI18">
            <v>210.9</v>
          </cell>
          <cell r="BJ18">
            <v>703.6</v>
          </cell>
          <cell r="BK18">
            <v>68.900000000000006</v>
          </cell>
          <cell r="BL18">
            <v>659.5</v>
          </cell>
          <cell r="BM18">
            <v>827.5</v>
          </cell>
          <cell r="BN18">
            <v>486.8</v>
          </cell>
          <cell r="BO18">
            <v>23.3</v>
          </cell>
          <cell r="BP18">
            <v>70</v>
          </cell>
          <cell r="BQ18">
            <v>152.4</v>
          </cell>
          <cell r="BR18">
            <v>-331.1</v>
          </cell>
          <cell r="BS18">
            <v>575.4</v>
          </cell>
          <cell r="BT18">
            <v>30.7</v>
          </cell>
          <cell r="BU18">
            <v>97</v>
          </cell>
          <cell r="BV18">
            <v>23.8</v>
          </cell>
          <cell r="CR18">
            <v>772.5</v>
          </cell>
          <cell r="CS18">
            <v>423.7</v>
          </cell>
          <cell r="CT18">
            <v>4550.7000000000007</v>
          </cell>
          <cell r="CU18">
            <v>2470.4</v>
          </cell>
          <cell r="CV18">
            <v>1019.0350000000001</v>
          </cell>
          <cell r="CW18">
            <v>541.89200000000005</v>
          </cell>
          <cell r="CX18">
            <v>477.14299999999997</v>
          </cell>
          <cell r="CY18">
            <v>2077.1299999999997</v>
          </cell>
          <cell r="CZ18">
            <v>1058.0949999999998</v>
          </cell>
          <cell r="DA18">
            <v>513.09799999999996</v>
          </cell>
          <cell r="DB18">
            <v>544.99699999999996</v>
          </cell>
          <cell r="DC18">
            <v>12.174077502478633</v>
          </cell>
        </row>
        <row r="19">
          <cell r="A19">
            <v>1984</v>
          </cell>
          <cell r="B19">
            <v>228.4</v>
          </cell>
          <cell r="C19">
            <v>65.7</v>
          </cell>
          <cell r="D19">
            <v>37.1</v>
          </cell>
          <cell r="E19">
            <v>12.4</v>
          </cell>
          <cell r="F19">
            <v>98.8</v>
          </cell>
          <cell r="G19">
            <v>2210.6</v>
          </cell>
          <cell r="H19">
            <v>574.4</v>
          </cell>
          <cell r="I19">
            <v>2225.9</v>
          </cell>
          <cell r="J19">
            <v>228.7</v>
          </cell>
          <cell r="K19">
            <v>2165.1</v>
          </cell>
          <cell r="L19">
            <v>326.60000000000002</v>
          </cell>
          <cell r="M19">
            <v>17</v>
          </cell>
          <cell r="N19">
            <v>409.40000000000009</v>
          </cell>
          <cell r="O19">
            <v>180.2</v>
          </cell>
          <cell r="P19">
            <v>126.7</v>
          </cell>
          <cell r="Q19">
            <v>100.9</v>
          </cell>
          <cell r="R19">
            <v>521.5</v>
          </cell>
          <cell r="S19">
            <v>1651.1999999999998</v>
          </cell>
          <cell r="T19">
            <v>1816.5</v>
          </cell>
          <cell r="U19">
            <v>1.7</v>
          </cell>
          <cell r="V19">
            <v>98.2</v>
          </cell>
          <cell r="W19">
            <v>385.8</v>
          </cell>
          <cell r="X19">
            <v>835.76499999999999</v>
          </cell>
          <cell r="Y19">
            <v>382.6</v>
          </cell>
          <cell r="Z19">
            <v>28.9</v>
          </cell>
          <cell r="AA19">
            <v>4.4000000000000004</v>
          </cell>
          <cell r="AB19">
            <v>452.7</v>
          </cell>
          <cell r="AC19">
            <v>163.4</v>
          </cell>
          <cell r="AD19">
            <v>168.4</v>
          </cell>
          <cell r="AE19">
            <v>708.4</v>
          </cell>
          <cell r="AF19">
            <v>71.3</v>
          </cell>
          <cell r="AG19">
            <v>646.1</v>
          </cell>
          <cell r="AH19">
            <v>743.6</v>
          </cell>
          <cell r="AI19">
            <v>520.9</v>
          </cell>
          <cell r="AJ19">
            <v>23.7</v>
          </cell>
          <cell r="AK19">
            <v>77.599999999999994</v>
          </cell>
          <cell r="AL19">
            <v>156.6</v>
          </cell>
          <cell r="AM19">
            <v>-257.2</v>
          </cell>
          <cell r="AN19">
            <v>609.6</v>
          </cell>
          <cell r="AO19">
            <v>37.799999999999997</v>
          </cell>
          <cell r="AP19">
            <v>107.7</v>
          </cell>
          <cell r="AQ19">
            <v>27.5</v>
          </cell>
          <cell r="BD19">
            <v>382.6</v>
          </cell>
          <cell r="BE19">
            <v>28.9</v>
          </cell>
          <cell r="BF19">
            <v>4.4000000000000004</v>
          </cell>
          <cell r="BG19">
            <v>452.7</v>
          </cell>
          <cell r="BH19">
            <v>163.4</v>
          </cell>
          <cell r="BI19">
            <v>168.4</v>
          </cell>
          <cell r="BJ19">
            <v>708.4</v>
          </cell>
          <cell r="BK19">
            <v>71.3</v>
          </cell>
          <cell r="BL19">
            <v>646.1</v>
          </cell>
          <cell r="BM19">
            <v>743.6</v>
          </cell>
          <cell r="BN19">
            <v>520.9</v>
          </cell>
          <cell r="BO19">
            <v>23.7</v>
          </cell>
          <cell r="BP19">
            <v>77.599999999999994</v>
          </cell>
          <cell r="BQ19">
            <v>156.6</v>
          </cell>
          <cell r="BR19">
            <v>-257.2</v>
          </cell>
          <cell r="BS19">
            <v>609.6</v>
          </cell>
          <cell r="BT19">
            <v>37.799999999999997</v>
          </cell>
          <cell r="BU19">
            <v>107.7</v>
          </cell>
          <cell r="BV19">
            <v>27.5</v>
          </cell>
          <cell r="CR19">
            <v>779.69999999999993</v>
          </cell>
          <cell r="CS19">
            <v>452.7</v>
          </cell>
          <cell r="CT19">
            <v>4674.0000000000009</v>
          </cell>
          <cell r="CU19">
            <v>2337.7999999999997</v>
          </cell>
          <cell r="CV19">
            <v>1032.42</v>
          </cell>
          <cell r="CW19">
            <v>548.88900000000001</v>
          </cell>
          <cell r="CX19">
            <v>483.53100000000001</v>
          </cell>
          <cell r="CY19">
            <v>2121.7110000000002</v>
          </cell>
          <cell r="CZ19">
            <v>1089.2910000000002</v>
          </cell>
          <cell r="DA19">
            <v>528.36900000000003</v>
          </cell>
          <cell r="DB19">
            <v>560.92200000000003</v>
          </cell>
          <cell r="DC19">
            <v>12.099878742215367</v>
          </cell>
        </row>
        <row r="20">
          <cell r="A20">
            <v>1985</v>
          </cell>
          <cell r="B20">
            <v>235.1</v>
          </cell>
          <cell r="C20">
            <v>64.900000000000006</v>
          </cell>
          <cell r="D20">
            <v>37.700000000000003</v>
          </cell>
          <cell r="E20">
            <v>12.7</v>
          </cell>
          <cell r="F20">
            <v>104.9</v>
          </cell>
          <cell r="G20">
            <v>2420.3000000000002</v>
          </cell>
          <cell r="H20">
            <v>609.79999999999995</v>
          </cell>
          <cell r="I20">
            <v>2412.9</v>
          </cell>
          <cell r="J20">
            <v>252.4</v>
          </cell>
          <cell r="K20">
            <v>2382.9</v>
          </cell>
          <cell r="L20">
            <v>350</v>
          </cell>
          <cell r="M20">
            <v>17</v>
          </cell>
          <cell r="N20">
            <v>468.80000000000018</v>
          </cell>
          <cell r="O20">
            <v>170</v>
          </cell>
          <cell r="P20">
            <v>121</v>
          </cell>
          <cell r="Q20">
            <v>179</v>
          </cell>
          <cell r="R20">
            <v>559.6</v>
          </cell>
          <cell r="S20">
            <v>1771.7999999999997</v>
          </cell>
          <cell r="T20">
            <v>1944.1</v>
          </cell>
          <cell r="U20">
            <v>0.9</v>
          </cell>
          <cell r="V20">
            <v>99.1</v>
          </cell>
          <cell r="W20">
            <v>424</v>
          </cell>
          <cell r="X20">
            <v>855.76499999999999</v>
          </cell>
          <cell r="Y20">
            <v>394.1</v>
          </cell>
          <cell r="Z20">
            <v>44.9</v>
          </cell>
          <cell r="AA20">
            <v>4.0999999999999996</v>
          </cell>
          <cell r="AB20">
            <v>478.1</v>
          </cell>
          <cell r="AC20">
            <v>200.4</v>
          </cell>
          <cell r="AD20">
            <v>163.30000000000001</v>
          </cell>
          <cell r="AE20">
            <v>753.1</v>
          </cell>
          <cell r="AF20">
            <v>73.7</v>
          </cell>
          <cell r="AG20">
            <v>676.2</v>
          </cell>
          <cell r="AH20">
            <v>771.3</v>
          </cell>
          <cell r="AI20">
            <v>571.6</v>
          </cell>
          <cell r="AJ20">
            <v>23.3</v>
          </cell>
          <cell r="AK20">
            <v>79.2</v>
          </cell>
          <cell r="AL20">
            <v>160.80000000000001</v>
          </cell>
          <cell r="AM20">
            <v>-327.7</v>
          </cell>
          <cell r="AN20">
            <v>652.5</v>
          </cell>
          <cell r="AO20">
            <v>37</v>
          </cell>
          <cell r="AP20">
            <v>119.1</v>
          </cell>
          <cell r="AQ20">
            <v>30</v>
          </cell>
          <cell r="BD20">
            <v>394.1</v>
          </cell>
          <cell r="BE20">
            <v>44.9</v>
          </cell>
          <cell r="BF20">
            <v>4.0999999999999996</v>
          </cell>
          <cell r="BG20">
            <v>478.1</v>
          </cell>
          <cell r="BH20">
            <v>200.4</v>
          </cell>
          <cell r="BI20">
            <v>163.30000000000001</v>
          </cell>
          <cell r="BJ20">
            <v>753.1</v>
          </cell>
          <cell r="BK20">
            <v>73.7</v>
          </cell>
          <cell r="BL20">
            <v>676.2</v>
          </cell>
          <cell r="BM20">
            <v>771.3</v>
          </cell>
          <cell r="BN20">
            <v>571.6</v>
          </cell>
          <cell r="BO20">
            <v>23.3</v>
          </cell>
          <cell r="BP20">
            <v>79.2</v>
          </cell>
          <cell r="BQ20">
            <v>160.80000000000001</v>
          </cell>
          <cell r="BR20">
            <v>-327.7</v>
          </cell>
          <cell r="BS20">
            <v>652.5</v>
          </cell>
          <cell r="BT20">
            <v>37</v>
          </cell>
          <cell r="BU20">
            <v>119.1</v>
          </cell>
          <cell r="BV20">
            <v>30</v>
          </cell>
          <cell r="CR20">
            <v>826.80000000000007</v>
          </cell>
          <cell r="CS20">
            <v>478.1</v>
          </cell>
          <cell r="CT20">
            <v>4905.0000000000009</v>
          </cell>
          <cell r="CU20">
            <v>2437.6000000000004</v>
          </cell>
          <cell r="CV20">
            <v>1045.981</v>
          </cell>
          <cell r="CW20">
            <v>555.976</v>
          </cell>
          <cell r="CX20">
            <v>490.005</v>
          </cell>
          <cell r="CY20">
            <v>2167.3880000000004</v>
          </cell>
          <cell r="CZ20">
            <v>1121.4070000000002</v>
          </cell>
          <cell r="DA20">
            <v>544.09500000000003</v>
          </cell>
          <cell r="DB20">
            <v>577.31200000000001</v>
          </cell>
          <cell r="DC20">
            <v>11.531669392621657</v>
          </cell>
        </row>
        <row r="21">
          <cell r="A21">
            <v>1986</v>
          </cell>
          <cell r="B21">
            <v>242</v>
          </cell>
          <cell r="C21">
            <v>67.900000000000006</v>
          </cell>
          <cell r="D21">
            <v>39.299999999999997</v>
          </cell>
          <cell r="E21">
            <v>12.9</v>
          </cell>
          <cell r="F21">
            <v>91.8</v>
          </cell>
          <cell r="G21">
            <v>2586</v>
          </cell>
          <cell r="H21">
            <v>647.70000000000005</v>
          </cell>
          <cell r="I21">
            <v>2565.6999999999998</v>
          </cell>
          <cell r="J21">
            <v>267.60000000000002</v>
          </cell>
          <cell r="K21">
            <v>2551.6</v>
          </cell>
          <cell r="L21">
            <v>362.6</v>
          </cell>
          <cell r="M21">
            <v>16.3</v>
          </cell>
          <cell r="N21">
            <v>520.59999999999991</v>
          </cell>
          <cell r="O21">
            <v>124</v>
          </cell>
          <cell r="P21">
            <v>128</v>
          </cell>
          <cell r="Q21">
            <v>269</v>
          </cell>
          <cell r="R21">
            <v>606.9</v>
          </cell>
          <cell r="S21">
            <v>1884.8000000000002</v>
          </cell>
          <cell r="T21">
            <v>2045.1</v>
          </cell>
          <cell r="U21">
            <v>0</v>
          </cell>
          <cell r="V21">
            <v>99.1</v>
          </cell>
          <cell r="W21">
            <v>445.9</v>
          </cell>
          <cell r="X21">
            <v>849.66499999999996</v>
          </cell>
          <cell r="Y21">
            <v>381.2</v>
          </cell>
          <cell r="Z21">
            <v>50.1</v>
          </cell>
          <cell r="AA21">
            <v>4.4000000000000004</v>
          </cell>
          <cell r="AB21">
            <v>481.4</v>
          </cell>
          <cell r="AC21">
            <v>219.3</v>
          </cell>
          <cell r="AD21">
            <v>177.8</v>
          </cell>
          <cell r="AE21">
            <v>831</v>
          </cell>
          <cell r="AF21">
            <v>74.3</v>
          </cell>
          <cell r="AG21">
            <v>685</v>
          </cell>
          <cell r="AH21">
            <v>680.7</v>
          </cell>
          <cell r="AI21">
            <v>609.1</v>
          </cell>
          <cell r="AJ21">
            <v>24.6</v>
          </cell>
          <cell r="AK21">
            <v>81.3</v>
          </cell>
          <cell r="AL21">
            <v>167.8</v>
          </cell>
          <cell r="AM21">
            <v>-278</v>
          </cell>
          <cell r="AN21">
            <v>660.8</v>
          </cell>
          <cell r="AO21">
            <v>37.4</v>
          </cell>
          <cell r="AP21">
            <v>160.69999999999999</v>
          </cell>
          <cell r="AQ21">
            <v>31.1</v>
          </cell>
          <cell r="BD21">
            <v>381.2</v>
          </cell>
          <cell r="BE21">
            <v>50.1</v>
          </cell>
          <cell r="BF21">
            <v>4.4000000000000004</v>
          </cell>
          <cell r="BG21">
            <v>481.4</v>
          </cell>
          <cell r="BH21">
            <v>219.3</v>
          </cell>
          <cell r="BI21">
            <v>177.8</v>
          </cell>
          <cell r="BJ21">
            <v>831</v>
          </cell>
          <cell r="BK21">
            <v>74.3</v>
          </cell>
          <cell r="BL21">
            <v>685</v>
          </cell>
          <cell r="BM21">
            <v>680.7</v>
          </cell>
          <cell r="BN21">
            <v>609.1</v>
          </cell>
          <cell r="BO21">
            <v>24.6</v>
          </cell>
          <cell r="BP21">
            <v>81.3</v>
          </cell>
          <cell r="BQ21">
            <v>167.8</v>
          </cell>
          <cell r="BR21">
            <v>-278</v>
          </cell>
          <cell r="BS21">
            <v>660.8</v>
          </cell>
          <cell r="BT21">
            <v>37.4</v>
          </cell>
          <cell r="BU21">
            <v>160.69999999999999</v>
          </cell>
          <cell r="BV21">
            <v>31.1</v>
          </cell>
          <cell r="CR21">
            <v>905.3</v>
          </cell>
          <cell r="CS21">
            <v>481.4</v>
          </cell>
          <cell r="CT21">
            <v>5080.0000000000009</v>
          </cell>
          <cell r="CU21">
            <v>2448.8000000000002</v>
          </cell>
          <cell r="CV21">
            <v>1058.2629999999999</v>
          </cell>
          <cell r="CW21">
            <v>562.39099999999996</v>
          </cell>
          <cell r="CX21">
            <v>495.87200000000001</v>
          </cell>
          <cell r="CY21">
            <v>2211.2909999999997</v>
          </cell>
          <cell r="CZ21">
            <v>1153.0279999999998</v>
          </cell>
          <cell r="DA21">
            <v>559.52099999999996</v>
          </cell>
          <cell r="DB21">
            <v>593.50699999999995</v>
          </cell>
          <cell r="DC21">
            <v>11.283893311773101</v>
          </cell>
        </row>
        <row r="22">
          <cell r="A22">
            <v>1987</v>
          </cell>
          <cell r="B22">
            <v>255.2</v>
          </cell>
          <cell r="C22">
            <v>66.099999999999994</v>
          </cell>
          <cell r="D22">
            <v>41.2</v>
          </cell>
          <cell r="E22">
            <v>13.3</v>
          </cell>
          <cell r="F22">
            <v>91</v>
          </cell>
          <cell r="G22">
            <v>2670.9</v>
          </cell>
          <cell r="H22">
            <v>678.4</v>
          </cell>
          <cell r="I22">
            <v>2748.3</v>
          </cell>
          <cell r="J22">
            <v>305.5</v>
          </cell>
          <cell r="K22">
            <v>2629.2</v>
          </cell>
          <cell r="L22">
            <v>380.1</v>
          </cell>
          <cell r="M22">
            <v>18.899999999999999</v>
          </cell>
          <cell r="N22">
            <v>557.19999999999982</v>
          </cell>
          <cell r="O22">
            <v>175</v>
          </cell>
          <cell r="P22">
            <v>137</v>
          </cell>
          <cell r="Q22">
            <v>245</v>
          </cell>
          <cell r="R22">
            <v>662.7</v>
          </cell>
          <cell r="S22">
            <v>2026.7</v>
          </cell>
          <cell r="T22">
            <v>2191.1000000000004</v>
          </cell>
          <cell r="U22">
            <v>0.9</v>
          </cell>
          <cell r="V22">
            <v>100</v>
          </cell>
          <cell r="W22">
            <v>474.8</v>
          </cell>
          <cell r="X22">
            <v>844.73500000000001</v>
          </cell>
          <cell r="Y22">
            <v>406.7</v>
          </cell>
          <cell r="Z22">
            <v>46.8</v>
          </cell>
          <cell r="AA22">
            <v>5.4</v>
          </cell>
          <cell r="AB22">
            <v>514.5</v>
          </cell>
          <cell r="AC22">
            <v>212.7</v>
          </cell>
          <cell r="AD22">
            <v>164.3</v>
          </cell>
          <cell r="AE22">
            <v>846.7</v>
          </cell>
          <cell r="AF22">
            <v>72.599999999999994</v>
          </cell>
          <cell r="AG22">
            <v>702.9</v>
          </cell>
          <cell r="AH22">
            <v>583.70000000000005</v>
          </cell>
          <cell r="AI22">
            <v>656.5</v>
          </cell>
          <cell r="AJ22">
            <v>25.3</v>
          </cell>
          <cell r="AK22">
            <v>83.2</v>
          </cell>
          <cell r="AL22">
            <v>169.8</v>
          </cell>
          <cell r="AM22">
            <v>-407.1</v>
          </cell>
          <cell r="AN22">
            <v>692.7</v>
          </cell>
          <cell r="AO22">
            <v>39.200000000000003</v>
          </cell>
          <cell r="AP22">
            <v>141.9</v>
          </cell>
          <cell r="AQ22">
            <v>30.3</v>
          </cell>
          <cell r="BD22">
            <v>406.7</v>
          </cell>
          <cell r="BE22">
            <v>46.8</v>
          </cell>
          <cell r="BF22">
            <v>5.4</v>
          </cell>
          <cell r="BG22">
            <v>514.5</v>
          </cell>
          <cell r="BH22">
            <v>212.7</v>
          </cell>
          <cell r="BI22">
            <v>164.3</v>
          </cell>
          <cell r="BJ22">
            <v>846.7</v>
          </cell>
          <cell r="BK22">
            <v>72.599999999999994</v>
          </cell>
          <cell r="BL22">
            <v>702.9</v>
          </cell>
          <cell r="BM22">
            <v>583.70000000000005</v>
          </cell>
          <cell r="BN22">
            <v>656.5</v>
          </cell>
          <cell r="BO22">
            <v>25.3</v>
          </cell>
          <cell r="BP22">
            <v>83.2</v>
          </cell>
          <cell r="BQ22">
            <v>169.8</v>
          </cell>
          <cell r="BR22">
            <v>-407.1</v>
          </cell>
          <cell r="BS22">
            <v>692.7</v>
          </cell>
          <cell r="BT22">
            <v>39.200000000000003</v>
          </cell>
          <cell r="BU22">
            <v>141.9</v>
          </cell>
          <cell r="BV22">
            <v>30.3</v>
          </cell>
          <cell r="CR22">
            <v>919.30000000000007</v>
          </cell>
          <cell r="CS22">
            <v>514.5</v>
          </cell>
          <cell r="CT22">
            <v>4988.1000000000004</v>
          </cell>
          <cell r="CU22">
            <v>2370.1999999999998</v>
          </cell>
          <cell r="CV22">
            <v>1070.6890000000001</v>
          </cell>
          <cell r="CW22">
            <v>568.88</v>
          </cell>
          <cell r="CX22">
            <v>501.80900000000003</v>
          </cell>
          <cell r="CY22">
            <v>2256.2290000000003</v>
          </cell>
          <cell r="CZ22">
            <v>1185.54</v>
          </cell>
          <cell r="DA22">
            <v>575.38400000000001</v>
          </cell>
          <cell r="DB22">
            <v>610.15599999999995</v>
          </cell>
          <cell r="DC22">
            <v>11.006526402263702</v>
          </cell>
        </row>
        <row r="23">
          <cell r="A23">
            <v>1988</v>
          </cell>
          <cell r="B23">
            <v>238.3</v>
          </cell>
          <cell r="C23">
            <v>62.4</v>
          </cell>
          <cell r="D23">
            <v>42.3</v>
          </cell>
          <cell r="E23">
            <v>12.9</v>
          </cell>
          <cell r="F23">
            <v>116.8</v>
          </cell>
          <cell r="G23">
            <v>2558.5</v>
          </cell>
          <cell r="H23">
            <v>605.5</v>
          </cell>
          <cell r="I23">
            <v>2579.9</v>
          </cell>
          <cell r="J23">
            <v>246.7</v>
          </cell>
          <cell r="K23">
            <v>2531.6999999999998</v>
          </cell>
          <cell r="L23">
            <v>363.8</v>
          </cell>
          <cell r="M23">
            <v>20</v>
          </cell>
          <cell r="N23">
            <v>516.80000000000018</v>
          </cell>
          <cell r="O23">
            <v>169</v>
          </cell>
          <cell r="P23">
            <v>129</v>
          </cell>
          <cell r="Q23">
            <v>219</v>
          </cell>
          <cell r="R23">
            <v>655.1</v>
          </cell>
          <cell r="S23">
            <v>1871.1</v>
          </cell>
          <cell r="T23">
            <v>2063.1</v>
          </cell>
          <cell r="U23">
            <v>0.5</v>
          </cell>
          <cell r="V23">
            <v>100.5</v>
          </cell>
          <cell r="W23">
            <v>470.9</v>
          </cell>
          <cell r="X23">
            <v>904.38499999999999</v>
          </cell>
          <cell r="Y23">
            <v>384.8</v>
          </cell>
          <cell r="Z23">
            <v>39.6</v>
          </cell>
          <cell r="AA23">
            <v>3.1</v>
          </cell>
          <cell r="AB23">
            <v>398.9</v>
          </cell>
          <cell r="AC23">
            <v>228.6</v>
          </cell>
          <cell r="AD23">
            <v>77.599999999999994</v>
          </cell>
          <cell r="AE23">
            <v>651.70000000000005</v>
          </cell>
          <cell r="AF23">
            <v>59</v>
          </cell>
          <cell r="AG23">
            <v>646.70000000000005</v>
          </cell>
          <cell r="AH23">
            <v>337.5</v>
          </cell>
          <cell r="AI23">
            <v>639.6</v>
          </cell>
          <cell r="AJ23">
            <v>23.8</v>
          </cell>
          <cell r="AK23">
            <v>90.1</v>
          </cell>
          <cell r="AL23">
            <v>121.6</v>
          </cell>
          <cell r="AM23">
            <v>-191.9</v>
          </cell>
          <cell r="AN23">
            <v>688.9</v>
          </cell>
          <cell r="AO23">
            <v>35.5</v>
          </cell>
          <cell r="AP23">
            <v>57.8</v>
          </cell>
          <cell r="AQ23">
            <v>27.8</v>
          </cell>
          <cell r="BD23">
            <v>384.8</v>
          </cell>
          <cell r="BE23">
            <v>39.6</v>
          </cell>
          <cell r="BF23">
            <v>3.1</v>
          </cell>
          <cell r="BG23">
            <v>398.9</v>
          </cell>
          <cell r="BH23">
            <v>228.6</v>
          </cell>
          <cell r="BI23">
            <v>77.599999999999994</v>
          </cell>
          <cell r="BJ23">
            <v>651.70000000000005</v>
          </cell>
          <cell r="BK23">
            <v>59</v>
          </cell>
          <cell r="BL23">
            <v>646.70000000000005</v>
          </cell>
          <cell r="BM23">
            <v>337.5</v>
          </cell>
          <cell r="BN23">
            <v>639.6</v>
          </cell>
          <cell r="BO23">
            <v>23.8</v>
          </cell>
          <cell r="BP23">
            <v>90.1</v>
          </cell>
          <cell r="BQ23">
            <v>121.6</v>
          </cell>
          <cell r="BR23">
            <v>-191.9</v>
          </cell>
          <cell r="BS23">
            <v>688.9</v>
          </cell>
          <cell r="BT23">
            <v>35.5</v>
          </cell>
          <cell r="BU23">
            <v>57.8</v>
          </cell>
          <cell r="BV23">
            <v>27.8</v>
          </cell>
          <cell r="CR23">
            <v>710.7</v>
          </cell>
          <cell r="CS23">
            <v>398.9</v>
          </cell>
          <cell r="CT23">
            <v>4320.7</v>
          </cell>
          <cell r="CU23">
            <v>1772.5</v>
          </cell>
          <cell r="CV23">
            <v>1083.261</v>
          </cell>
          <cell r="CW23">
            <v>575.44399999999996</v>
          </cell>
          <cell r="CX23">
            <v>507.81700000000001</v>
          </cell>
          <cell r="CY23">
            <v>2302.23</v>
          </cell>
          <cell r="CZ23">
            <v>1218.9690000000001</v>
          </cell>
          <cell r="DA23">
            <v>591.697</v>
          </cell>
          <cell r="DB23">
            <v>627.27200000000005</v>
          </cell>
          <cell r="DC23">
            <v>10.860992406008346</v>
          </cell>
        </row>
        <row r="24">
          <cell r="A24">
            <v>1989</v>
          </cell>
          <cell r="B24">
            <v>231.8</v>
          </cell>
          <cell r="C24">
            <v>67.2</v>
          </cell>
          <cell r="D24">
            <v>43</v>
          </cell>
          <cell r="E24">
            <v>12.8</v>
          </cell>
          <cell r="F24">
            <v>71</v>
          </cell>
          <cell r="G24">
            <v>2579.6999999999998</v>
          </cell>
          <cell r="H24">
            <v>610.70000000000005</v>
          </cell>
          <cell r="I24">
            <v>2624.7</v>
          </cell>
          <cell r="J24">
            <v>254.9</v>
          </cell>
          <cell r="K24">
            <v>2552.8000000000002</v>
          </cell>
          <cell r="L24">
            <v>356.7</v>
          </cell>
          <cell r="M24">
            <v>20.9</v>
          </cell>
          <cell r="N24">
            <v>641.09999999999991</v>
          </cell>
          <cell r="O24">
            <v>400</v>
          </cell>
          <cell r="P24">
            <v>131</v>
          </cell>
          <cell r="Q24">
            <v>110</v>
          </cell>
          <cell r="R24">
            <v>613.6</v>
          </cell>
          <cell r="S24">
            <v>1835.9</v>
          </cell>
          <cell r="T24">
            <v>1983.6</v>
          </cell>
          <cell r="U24">
            <v>0.1</v>
          </cell>
          <cell r="V24">
            <v>100.6</v>
          </cell>
          <cell r="W24">
            <v>446.2</v>
          </cell>
          <cell r="X24">
            <v>884.08500000000004</v>
          </cell>
          <cell r="Y24">
            <v>399.3</v>
          </cell>
          <cell r="Z24">
            <v>48.8</v>
          </cell>
          <cell r="AA24">
            <v>2.1</v>
          </cell>
          <cell r="AB24">
            <v>404.1</v>
          </cell>
          <cell r="AC24">
            <v>229.1</v>
          </cell>
          <cell r="AD24">
            <v>46.3</v>
          </cell>
          <cell r="AE24">
            <v>687.4</v>
          </cell>
          <cell r="AF24">
            <v>60.9</v>
          </cell>
          <cell r="AG24">
            <v>629.6</v>
          </cell>
          <cell r="AH24">
            <v>299.8</v>
          </cell>
          <cell r="AI24">
            <v>654.20000000000005</v>
          </cell>
          <cell r="AJ24">
            <v>23.7</v>
          </cell>
          <cell r="AK24">
            <v>92.3</v>
          </cell>
          <cell r="AL24">
            <v>136.30000000000001</v>
          </cell>
          <cell r="AM24">
            <v>-131</v>
          </cell>
          <cell r="AN24">
            <v>665.1</v>
          </cell>
          <cell r="AO24">
            <v>43.1</v>
          </cell>
          <cell r="AP24">
            <v>62.9</v>
          </cell>
          <cell r="AQ24">
            <v>34.200000000000003</v>
          </cell>
          <cell r="BD24">
            <v>399.3</v>
          </cell>
          <cell r="BE24">
            <v>48.8</v>
          </cell>
          <cell r="BF24">
            <v>2.1</v>
          </cell>
          <cell r="BG24">
            <v>404.1</v>
          </cell>
          <cell r="BH24">
            <v>229.1</v>
          </cell>
          <cell r="BI24">
            <v>46.3</v>
          </cell>
          <cell r="BJ24">
            <v>687.4</v>
          </cell>
          <cell r="BK24">
            <v>60.9</v>
          </cell>
          <cell r="BL24">
            <v>629.6</v>
          </cell>
          <cell r="BM24">
            <v>299.8</v>
          </cell>
          <cell r="BN24">
            <v>654.20000000000005</v>
          </cell>
          <cell r="BO24">
            <v>23.7</v>
          </cell>
          <cell r="BP24">
            <v>92.3</v>
          </cell>
          <cell r="BQ24">
            <v>136.30000000000001</v>
          </cell>
          <cell r="BR24">
            <v>-131</v>
          </cell>
          <cell r="BS24">
            <v>665.1</v>
          </cell>
          <cell r="BT24">
            <v>43.1</v>
          </cell>
          <cell r="BU24">
            <v>62.9</v>
          </cell>
          <cell r="BV24">
            <v>34.200000000000003</v>
          </cell>
          <cell r="CR24">
            <v>748.3</v>
          </cell>
          <cell r="CS24">
            <v>404.1</v>
          </cell>
          <cell r="CT24">
            <v>4388.2000000000007</v>
          </cell>
          <cell r="CU24">
            <v>1723.9999999999998</v>
          </cell>
          <cell r="CV24">
            <v>1095.981</v>
          </cell>
          <cell r="CW24">
            <v>582.08399999999995</v>
          </cell>
          <cell r="CX24">
            <v>513.89700000000005</v>
          </cell>
          <cell r="CY24">
            <v>2349.3209999999999</v>
          </cell>
          <cell r="CZ24">
            <v>1253.3400000000001</v>
          </cell>
          <cell r="DA24">
            <v>608.47199999999998</v>
          </cell>
          <cell r="DB24">
            <v>644.86800000000005</v>
          </cell>
          <cell r="DC24">
            <v>10.977240008226504</v>
          </cell>
        </row>
        <row r="25">
          <cell r="A25">
            <v>1990</v>
          </cell>
          <cell r="B25">
            <v>238.8</v>
          </cell>
          <cell r="C25">
            <v>67.5</v>
          </cell>
          <cell r="D25">
            <v>44.1</v>
          </cell>
          <cell r="E25">
            <v>12.4</v>
          </cell>
          <cell r="F25">
            <v>72.2</v>
          </cell>
          <cell r="G25">
            <v>2660.2</v>
          </cell>
          <cell r="H25">
            <v>633.6</v>
          </cell>
          <cell r="I25">
            <v>2746.1</v>
          </cell>
          <cell r="J25">
            <v>276.5</v>
          </cell>
          <cell r="K25">
            <v>2631.9</v>
          </cell>
          <cell r="L25">
            <v>354.7</v>
          </cell>
          <cell r="M25">
            <v>22.2</v>
          </cell>
          <cell r="N25">
            <v>693.09999999999991</v>
          </cell>
          <cell r="O25">
            <v>333</v>
          </cell>
          <cell r="P25">
            <v>137</v>
          </cell>
          <cell r="Q25">
            <v>222</v>
          </cell>
          <cell r="R25">
            <v>637.29999999999995</v>
          </cell>
          <cell r="S25">
            <v>1902.1</v>
          </cell>
          <cell r="T25">
            <v>2053</v>
          </cell>
          <cell r="U25">
            <v>0.8</v>
          </cell>
          <cell r="V25">
            <v>101.4</v>
          </cell>
          <cell r="W25">
            <v>464.4</v>
          </cell>
          <cell r="X25">
            <v>884.08500000000004</v>
          </cell>
          <cell r="Y25">
            <v>415.3</v>
          </cell>
          <cell r="Z25">
            <v>39.700000000000003</v>
          </cell>
          <cell r="AA25">
            <v>2.9</v>
          </cell>
          <cell r="AB25">
            <v>459.8</v>
          </cell>
          <cell r="AC25">
            <v>230.5</v>
          </cell>
          <cell r="AD25">
            <v>54.6</v>
          </cell>
          <cell r="AE25">
            <v>835</v>
          </cell>
          <cell r="AF25">
            <v>67.900000000000006</v>
          </cell>
          <cell r="AG25">
            <v>647.9</v>
          </cell>
          <cell r="AH25">
            <v>354.7</v>
          </cell>
          <cell r="AI25">
            <v>700.4</v>
          </cell>
          <cell r="AJ25">
            <v>24.8</v>
          </cell>
          <cell r="AK25">
            <v>95.8</v>
          </cell>
          <cell r="AL25">
            <v>146.5</v>
          </cell>
          <cell r="AM25">
            <v>-151.5</v>
          </cell>
          <cell r="AN25">
            <v>630.1</v>
          </cell>
          <cell r="AO25">
            <v>44.6</v>
          </cell>
          <cell r="AP25">
            <v>114.8</v>
          </cell>
          <cell r="AQ25">
            <v>29.8</v>
          </cell>
          <cell r="BD25">
            <v>415.3</v>
          </cell>
          <cell r="BE25">
            <v>39.700000000000003</v>
          </cell>
          <cell r="BF25">
            <v>2.9</v>
          </cell>
          <cell r="BG25">
            <v>459.8</v>
          </cell>
          <cell r="BH25">
            <v>230.5</v>
          </cell>
          <cell r="BI25">
            <v>54.6</v>
          </cell>
          <cell r="BJ25">
            <v>835</v>
          </cell>
          <cell r="BK25">
            <v>67.900000000000006</v>
          </cell>
          <cell r="BL25">
            <v>647.9</v>
          </cell>
          <cell r="BM25">
            <v>354.7</v>
          </cell>
          <cell r="BN25">
            <v>700.4</v>
          </cell>
          <cell r="BO25">
            <v>24.8</v>
          </cell>
          <cell r="BP25">
            <v>95.8</v>
          </cell>
          <cell r="BQ25">
            <v>146.5</v>
          </cell>
          <cell r="BR25">
            <v>-151.5</v>
          </cell>
          <cell r="BS25">
            <v>630.1</v>
          </cell>
          <cell r="BT25">
            <v>44.6</v>
          </cell>
          <cell r="BU25">
            <v>114.8</v>
          </cell>
          <cell r="BV25">
            <v>29.8</v>
          </cell>
          <cell r="CR25">
            <v>902.9</v>
          </cell>
          <cell r="CS25">
            <v>459.8</v>
          </cell>
          <cell r="CT25">
            <v>4743.6000000000013</v>
          </cell>
          <cell r="CU25">
            <v>1960.1000000000001</v>
          </cell>
          <cell r="CV25">
            <v>1108.8530000000001</v>
          </cell>
          <cell r="CW25">
            <v>588.80200000000002</v>
          </cell>
          <cell r="CX25">
            <v>520.05100000000004</v>
          </cell>
          <cell r="CY25">
            <v>2397.5349999999999</v>
          </cell>
          <cell r="CZ25">
            <v>1288.6819999999998</v>
          </cell>
          <cell r="DA25">
            <v>625.72299999999996</v>
          </cell>
          <cell r="DB25">
            <v>662.95899999999995</v>
          </cell>
          <cell r="DC25">
            <v>10.840248215196695</v>
          </cell>
        </row>
        <row r="26">
          <cell r="A26">
            <v>1991</v>
          </cell>
          <cell r="B26">
            <v>254</v>
          </cell>
          <cell r="C26">
            <v>67.7</v>
          </cell>
          <cell r="D26">
            <v>45.1</v>
          </cell>
          <cell r="E26">
            <v>12.5</v>
          </cell>
          <cell r="F26">
            <v>59</v>
          </cell>
          <cell r="G26">
            <v>2790.3</v>
          </cell>
          <cell r="H26">
            <v>703.1</v>
          </cell>
          <cell r="I26">
            <v>2896.6</v>
          </cell>
          <cell r="J26">
            <v>321.10000000000002</v>
          </cell>
          <cell r="K26">
            <v>2757.8</v>
          </cell>
          <cell r="L26">
            <v>349.6</v>
          </cell>
          <cell r="M26">
            <v>22.1</v>
          </cell>
          <cell r="N26">
            <v>710.69999999999982</v>
          </cell>
          <cell r="O26">
            <v>375</v>
          </cell>
          <cell r="P26">
            <v>145</v>
          </cell>
          <cell r="Q26">
            <v>191</v>
          </cell>
          <cell r="R26">
            <v>673.4</v>
          </cell>
          <cell r="S26">
            <v>2047.2000000000003</v>
          </cell>
          <cell r="T26">
            <v>2185.9</v>
          </cell>
          <cell r="U26">
            <v>1.3</v>
          </cell>
          <cell r="V26">
            <v>102.7</v>
          </cell>
          <cell r="W26">
            <v>488.5</v>
          </cell>
          <cell r="X26">
            <v>884.08500000000004</v>
          </cell>
          <cell r="Y26">
            <v>420.9</v>
          </cell>
          <cell r="Z26">
            <v>39</v>
          </cell>
          <cell r="AA26">
            <v>4.5999999999999996</v>
          </cell>
          <cell r="AB26">
            <v>507.9</v>
          </cell>
          <cell r="AC26">
            <v>217.2</v>
          </cell>
          <cell r="AD26">
            <v>126.6</v>
          </cell>
          <cell r="AE26">
            <v>963.3</v>
          </cell>
          <cell r="AF26">
            <v>77.3</v>
          </cell>
          <cell r="AG26">
            <v>663.6</v>
          </cell>
          <cell r="AH26">
            <v>402.5</v>
          </cell>
          <cell r="AI26">
            <v>735.9</v>
          </cell>
          <cell r="AJ26">
            <v>25.8</v>
          </cell>
          <cell r="AK26">
            <v>93</v>
          </cell>
          <cell r="AL26">
            <v>132.30000000000001</v>
          </cell>
          <cell r="AM26">
            <v>-57.3</v>
          </cell>
          <cell r="AN26">
            <v>643.29999999999995</v>
          </cell>
          <cell r="AO26">
            <v>46</v>
          </cell>
          <cell r="AP26">
            <v>112.9</v>
          </cell>
          <cell r="AQ26">
            <v>35.6</v>
          </cell>
          <cell r="BD26">
            <v>420.9</v>
          </cell>
          <cell r="BE26">
            <v>39</v>
          </cell>
          <cell r="BF26">
            <v>4.5999999999999996</v>
          </cell>
          <cell r="BG26">
            <v>507.9</v>
          </cell>
          <cell r="BH26">
            <v>217.2</v>
          </cell>
          <cell r="BI26">
            <v>126.6</v>
          </cell>
          <cell r="BJ26">
            <v>963.3</v>
          </cell>
          <cell r="BK26">
            <v>77.3</v>
          </cell>
          <cell r="BL26">
            <v>663.6</v>
          </cell>
          <cell r="BM26">
            <v>402.5</v>
          </cell>
          <cell r="BN26">
            <v>735.9</v>
          </cell>
          <cell r="BO26">
            <v>25.8</v>
          </cell>
          <cell r="BP26">
            <v>93</v>
          </cell>
          <cell r="BQ26">
            <v>132.30000000000001</v>
          </cell>
          <cell r="BR26">
            <v>-57.3</v>
          </cell>
          <cell r="BS26">
            <v>643.29999999999995</v>
          </cell>
          <cell r="BT26">
            <v>46</v>
          </cell>
          <cell r="BU26">
            <v>112.9</v>
          </cell>
          <cell r="BV26">
            <v>35.6</v>
          </cell>
          <cell r="CR26">
            <v>1040.5999999999999</v>
          </cell>
          <cell r="CS26">
            <v>507.9</v>
          </cell>
          <cell r="CT26">
            <v>5190.4000000000005</v>
          </cell>
          <cell r="CU26">
            <v>2233.2999999999997</v>
          </cell>
          <cell r="CV26">
            <v>1119.9110000000001</v>
          </cell>
          <cell r="CW26">
            <v>594.50099999999998</v>
          </cell>
          <cell r="CX26">
            <v>525.41</v>
          </cell>
          <cell r="CY26">
            <v>2442.2069999999999</v>
          </cell>
          <cell r="CZ26">
            <v>1322.2959999999998</v>
          </cell>
          <cell r="DA26">
            <v>642.15099999999995</v>
          </cell>
          <cell r="DB26">
            <v>680.14499999999998</v>
          </cell>
          <cell r="DC26">
            <v>10.692143811138333</v>
          </cell>
        </row>
        <row r="27">
          <cell r="A27">
            <v>1992</v>
          </cell>
          <cell r="B27">
            <v>263.8</v>
          </cell>
          <cell r="C27">
            <v>66.2</v>
          </cell>
          <cell r="D27">
            <v>45.5</v>
          </cell>
          <cell r="E27">
            <v>13.1</v>
          </cell>
          <cell r="F27">
            <v>26.8</v>
          </cell>
          <cell r="G27">
            <v>2902.7</v>
          </cell>
          <cell r="H27">
            <v>754.1</v>
          </cell>
          <cell r="I27">
            <v>3011.6</v>
          </cell>
          <cell r="J27">
            <v>366.2</v>
          </cell>
          <cell r="K27">
            <v>2863.7</v>
          </cell>
          <cell r="L27">
            <v>367.8</v>
          </cell>
          <cell r="M27">
            <v>21.6</v>
          </cell>
          <cell r="N27">
            <v>700.20000000000027</v>
          </cell>
          <cell r="O27">
            <v>357</v>
          </cell>
          <cell r="P27">
            <v>151</v>
          </cell>
          <cell r="Q27">
            <v>193</v>
          </cell>
          <cell r="R27">
            <v>716.3</v>
          </cell>
          <cell r="S27">
            <v>2204.3999999999996</v>
          </cell>
          <cell r="T27">
            <v>2311.3999999999996</v>
          </cell>
          <cell r="U27">
            <v>1.8</v>
          </cell>
          <cell r="V27">
            <v>104.5</v>
          </cell>
          <cell r="W27">
            <v>518</v>
          </cell>
          <cell r="X27">
            <v>884.08500000000004</v>
          </cell>
          <cell r="Y27">
            <v>437.1</v>
          </cell>
          <cell r="Z27">
            <v>43.1</v>
          </cell>
          <cell r="AA27">
            <v>7.1</v>
          </cell>
          <cell r="AB27">
            <v>554.4</v>
          </cell>
          <cell r="AC27">
            <v>203.3</v>
          </cell>
          <cell r="AD27">
            <v>173.1</v>
          </cell>
          <cell r="AE27">
            <v>1086.7</v>
          </cell>
          <cell r="AF27">
            <v>83.5</v>
          </cell>
          <cell r="AG27">
            <v>688.5</v>
          </cell>
          <cell r="AH27">
            <v>583.9</v>
          </cell>
          <cell r="AI27">
            <v>769.1</v>
          </cell>
          <cell r="AJ27">
            <v>27.7</v>
          </cell>
          <cell r="AK27">
            <v>99</v>
          </cell>
          <cell r="AL27">
            <v>139.6</v>
          </cell>
          <cell r="AM27">
            <v>-112</v>
          </cell>
          <cell r="AN27">
            <v>608</v>
          </cell>
          <cell r="AO27">
            <v>56</v>
          </cell>
          <cell r="AP27">
            <v>130.1</v>
          </cell>
          <cell r="AQ27">
            <v>37.9</v>
          </cell>
          <cell r="BD27">
            <v>437.1</v>
          </cell>
          <cell r="BE27">
            <v>43.1</v>
          </cell>
          <cell r="BF27">
            <v>7.1</v>
          </cell>
          <cell r="BG27">
            <v>554.4</v>
          </cell>
          <cell r="BH27">
            <v>203.3</v>
          </cell>
          <cell r="BI27">
            <v>173.1</v>
          </cell>
          <cell r="BJ27">
            <v>1086.7</v>
          </cell>
          <cell r="BK27">
            <v>83.5</v>
          </cell>
          <cell r="BL27">
            <v>688.5</v>
          </cell>
          <cell r="BM27">
            <v>583.9</v>
          </cell>
          <cell r="BN27">
            <v>769.1</v>
          </cell>
          <cell r="BO27">
            <v>27.7</v>
          </cell>
          <cell r="BP27">
            <v>99</v>
          </cell>
          <cell r="BQ27">
            <v>139.6</v>
          </cell>
          <cell r="BR27">
            <v>-112</v>
          </cell>
          <cell r="BS27">
            <v>608</v>
          </cell>
          <cell r="BT27">
            <v>56</v>
          </cell>
          <cell r="BU27">
            <v>130.1</v>
          </cell>
          <cell r="BV27">
            <v>37.9</v>
          </cell>
          <cell r="CR27">
            <v>1170.2</v>
          </cell>
          <cell r="CS27">
            <v>554.4</v>
          </cell>
          <cell r="CT27">
            <v>5616.1</v>
          </cell>
          <cell r="CU27">
            <v>2615.6999999999998</v>
          </cell>
          <cell r="CV27">
            <v>1131.079</v>
          </cell>
          <cell r="CW27">
            <v>600.255</v>
          </cell>
          <cell r="CX27">
            <v>530.82399999999996</v>
          </cell>
          <cell r="CY27">
            <v>2487.8670000000002</v>
          </cell>
          <cell r="CZ27">
            <v>1356.788</v>
          </cell>
          <cell r="DA27">
            <v>659.01099999999997</v>
          </cell>
          <cell r="DB27">
            <v>697.77700000000004</v>
          </cell>
          <cell r="DC27">
            <v>10.320843681805142</v>
          </cell>
        </row>
        <row r="28">
          <cell r="A28">
            <v>1993</v>
          </cell>
          <cell r="B28">
            <v>281.7</v>
          </cell>
          <cell r="C28">
            <v>67.5</v>
          </cell>
          <cell r="D28">
            <v>44.7</v>
          </cell>
          <cell r="E28">
            <v>13.3</v>
          </cell>
          <cell r="F28">
            <v>15.6</v>
          </cell>
          <cell r="G28">
            <v>3146.7</v>
          </cell>
          <cell r="H28">
            <v>839.6</v>
          </cell>
          <cell r="I28">
            <v>3199.1</v>
          </cell>
          <cell r="J28">
            <v>409.9</v>
          </cell>
          <cell r="K28">
            <v>3107</v>
          </cell>
          <cell r="L28">
            <v>392.8</v>
          </cell>
          <cell r="M28">
            <v>20.5</v>
          </cell>
          <cell r="N28">
            <v>712.90000000000009</v>
          </cell>
          <cell r="O28">
            <v>325</v>
          </cell>
          <cell r="P28">
            <v>160</v>
          </cell>
          <cell r="Q28">
            <v>227</v>
          </cell>
          <cell r="R28">
            <v>749.8</v>
          </cell>
          <cell r="S28">
            <v>2392.1</v>
          </cell>
          <cell r="T28">
            <v>2486.1999999999998</v>
          </cell>
          <cell r="U28">
            <v>0.5</v>
          </cell>
          <cell r="V28">
            <v>105</v>
          </cell>
          <cell r="W28">
            <v>541.20000000000005</v>
          </cell>
          <cell r="X28">
            <v>913.08500000000004</v>
          </cell>
          <cell r="Y28">
            <v>429.1</v>
          </cell>
          <cell r="Z28">
            <v>51.3</v>
          </cell>
          <cell r="AA28">
            <v>8.3000000000000007</v>
          </cell>
          <cell r="AB28">
            <v>589.5</v>
          </cell>
          <cell r="AC28">
            <v>240</v>
          </cell>
          <cell r="AD28">
            <v>243.2</v>
          </cell>
          <cell r="AE28">
            <v>1144.0999999999999</v>
          </cell>
          <cell r="AF28">
            <v>85.4</v>
          </cell>
          <cell r="AG28">
            <v>666.3</v>
          </cell>
          <cell r="AH28">
            <v>647</v>
          </cell>
          <cell r="AI28">
            <v>786.5</v>
          </cell>
          <cell r="AJ28">
            <v>28.7</v>
          </cell>
          <cell r="AK28">
            <v>103.8</v>
          </cell>
          <cell r="AL28">
            <v>136.6</v>
          </cell>
          <cell r="AM28">
            <v>-141.5</v>
          </cell>
          <cell r="AN28">
            <v>612.1</v>
          </cell>
          <cell r="AO28">
            <v>56.2</v>
          </cell>
          <cell r="AP28">
            <v>196.4</v>
          </cell>
          <cell r="AQ28">
            <v>39.5</v>
          </cell>
          <cell r="BD28">
            <v>429.1</v>
          </cell>
          <cell r="BE28">
            <v>51.3</v>
          </cell>
          <cell r="BF28">
            <v>8.3000000000000007</v>
          </cell>
          <cell r="BG28">
            <v>589.5</v>
          </cell>
          <cell r="BH28">
            <v>240</v>
          </cell>
          <cell r="BI28">
            <v>243.2</v>
          </cell>
          <cell r="BJ28">
            <v>1144.0999999999999</v>
          </cell>
          <cell r="BK28">
            <v>85.4</v>
          </cell>
          <cell r="BL28">
            <v>666.3</v>
          </cell>
          <cell r="BM28">
            <v>647</v>
          </cell>
          <cell r="BN28">
            <v>786.5</v>
          </cell>
          <cell r="BO28">
            <v>28.7</v>
          </cell>
          <cell r="BP28">
            <v>103.8</v>
          </cell>
          <cell r="BQ28">
            <v>136.6</v>
          </cell>
          <cell r="BR28">
            <v>-141.5</v>
          </cell>
          <cell r="BS28">
            <v>612.1</v>
          </cell>
          <cell r="BT28">
            <v>56.2</v>
          </cell>
          <cell r="BU28">
            <v>196.4</v>
          </cell>
          <cell r="BV28">
            <v>39.5</v>
          </cell>
          <cell r="CR28">
            <v>1229.5</v>
          </cell>
          <cell r="CS28">
            <v>589.5</v>
          </cell>
          <cell r="CT28">
            <v>5922.5</v>
          </cell>
          <cell r="CU28">
            <v>2786</v>
          </cell>
          <cell r="CV28">
            <v>1142.3589999999999</v>
          </cell>
          <cell r="CW28">
            <v>606.06500000000005</v>
          </cell>
          <cell r="CX28">
            <v>536.29399999999998</v>
          </cell>
          <cell r="CY28">
            <v>2534.538</v>
          </cell>
          <cell r="CZ28">
            <v>1392.1790000000001</v>
          </cell>
          <cell r="DA28">
            <v>676.31299999999999</v>
          </cell>
          <cell r="DB28">
            <v>715.86599999999999</v>
          </cell>
          <cell r="DC28">
            <v>10.197490145603734</v>
          </cell>
        </row>
        <row r="29">
          <cell r="A29">
            <v>1994</v>
          </cell>
          <cell r="B29">
            <v>304.2</v>
          </cell>
          <cell r="C29">
            <v>65.599999999999994</v>
          </cell>
          <cell r="D29">
            <v>44.5</v>
          </cell>
          <cell r="E29">
            <v>13.7</v>
          </cell>
          <cell r="F29">
            <v>46.4</v>
          </cell>
          <cell r="G29">
            <v>3360.7</v>
          </cell>
          <cell r="H29">
            <v>913.1</v>
          </cell>
          <cell r="I29">
            <v>3400</v>
          </cell>
          <cell r="J29">
            <v>429.7</v>
          </cell>
          <cell r="K29">
            <v>3317.3</v>
          </cell>
          <cell r="L29">
            <v>416.2</v>
          </cell>
          <cell r="M29">
            <v>19.8</v>
          </cell>
          <cell r="N29">
            <v>728.09999999999991</v>
          </cell>
          <cell r="O29">
            <v>322</v>
          </cell>
          <cell r="P29">
            <v>170</v>
          </cell>
          <cell r="Q29">
            <v>233</v>
          </cell>
          <cell r="R29">
            <v>788.5</v>
          </cell>
          <cell r="S29">
            <v>2547.5</v>
          </cell>
          <cell r="T29">
            <v>2671.9</v>
          </cell>
          <cell r="U29">
            <v>1.3</v>
          </cell>
          <cell r="V29">
            <v>106.4</v>
          </cell>
          <cell r="W29">
            <v>591.5</v>
          </cell>
          <cell r="X29">
            <v>911.08500000000004</v>
          </cell>
          <cell r="Y29">
            <v>440.9</v>
          </cell>
          <cell r="Z29">
            <v>52.4</v>
          </cell>
          <cell r="AA29">
            <v>9.1</v>
          </cell>
          <cell r="AB29">
            <v>614.6</v>
          </cell>
          <cell r="AC29">
            <v>255</v>
          </cell>
          <cell r="AD29">
            <v>248.6</v>
          </cell>
          <cell r="AE29">
            <v>1199.5</v>
          </cell>
          <cell r="AF29">
            <v>90.3</v>
          </cell>
          <cell r="AG29">
            <v>695.8</v>
          </cell>
          <cell r="AH29">
            <v>675</v>
          </cell>
          <cell r="AI29">
            <v>821.1</v>
          </cell>
          <cell r="AJ29">
            <v>30.8</v>
          </cell>
          <cell r="AK29">
            <v>106.6</v>
          </cell>
          <cell r="AL29">
            <v>146.1</v>
          </cell>
          <cell r="AM29">
            <v>-229.6</v>
          </cell>
          <cell r="AN29">
            <v>632</v>
          </cell>
          <cell r="AO29">
            <v>57.9</v>
          </cell>
          <cell r="AP29">
            <v>206.7</v>
          </cell>
          <cell r="AQ29">
            <v>38.5</v>
          </cell>
          <cell r="BD29">
            <v>440.9</v>
          </cell>
          <cell r="BE29">
            <v>52.4</v>
          </cell>
          <cell r="BF29">
            <v>9.1</v>
          </cell>
          <cell r="BG29">
            <v>614.6</v>
          </cell>
          <cell r="BH29">
            <v>255</v>
          </cell>
          <cell r="BI29">
            <v>248.6</v>
          </cell>
          <cell r="BJ29">
            <v>1199.5</v>
          </cell>
          <cell r="BK29">
            <v>90.3</v>
          </cell>
          <cell r="BL29">
            <v>695.8</v>
          </cell>
          <cell r="BM29">
            <v>675</v>
          </cell>
          <cell r="BN29">
            <v>821.1</v>
          </cell>
          <cell r="BO29">
            <v>30.8</v>
          </cell>
          <cell r="BP29">
            <v>106.6</v>
          </cell>
          <cell r="BQ29">
            <v>146.1</v>
          </cell>
          <cell r="BR29">
            <v>-229.6</v>
          </cell>
          <cell r="BS29">
            <v>632</v>
          </cell>
          <cell r="BT29">
            <v>57.9</v>
          </cell>
          <cell r="BU29">
            <v>206.7</v>
          </cell>
          <cell r="BV29">
            <v>38.5</v>
          </cell>
          <cell r="CR29">
            <v>1289.8</v>
          </cell>
          <cell r="CS29">
            <v>614.6</v>
          </cell>
          <cell r="CT29">
            <v>6091.3</v>
          </cell>
          <cell r="CU29">
            <v>2909.2</v>
          </cell>
          <cell r="CV29">
            <v>1153.752</v>
          </cell>
          <cell r="CW29">
            <v>611.93100000000004</v>
          </cell>
          <cell r="CX29">
            <v>541.82100000000003</v>
          </cell>
          <cell r="CY29">
            <v>2582.2460000000001</v>
          </cell>
          <cell r="CZ29">
            <v>1428.4940000000001</v>
          </cell>
          <cell r="DA29">
            <v>694.07</v>
          </cell>
          <cell r="DB29">
            <v>734.42399999999998</v>
          </cell>
          <cell r="DC29">
            <v>10.111816743850719</v>
          </cell>
        </row>
        <row r="30">
          <cell r="A30">
            <v>1995</v>
          </cell>
          <cell r="B30">
            <v>324.3</v>
          </cell>
          <cell r="C30">
            <v>66.7</v>
          </cell>
          <cell r="D30">
            <v>52.5</v>
          </cell>
          <cell r="E30">
            <v>14.6</v>
          </cell>
          <cell r="F30">
            <v>12.8</v>
          </cell>
          <cell r="G30">
            <v>3519.3</v>
          </cell>
          <cell r="H30">
            <v>1000.9</v>
          </cell>
          <cell r="I30">
            <v>3619.4</v>
          </cell>
          <cell r="J30">
            <v>459.2</v>
          </cell>
          <cell r="K30">
            <v>3476.5</v>
          </cell>
          <cell r="L30">
            <v>463</v>
          </cell>
          <cell r="M30">
            <v>18.399999999999999</v>
          </cell>
          <cell r="N30">
            <v>749.79999999999973</v>
          </cell>
          <cell r="O30">
            <v>341</v>
          </cell>
          <cell r="P30">
            <v>181</v>
          </cell>
          <cell r="Q30">
            <v>224</v>
          </cell>
          <cell r="R30">
            <v>848.2</v>
          </cell>
          <cell r="S30">
            <v>2771.3</v>
          </cell>
          <cell r="T30">
            <v>2869.6000000000004</v>
          </cell>
          <cell r="U30">
            <v>0.9</v>
          </cell>
          <cell r="V30">
            <v>107.4</v>
          </cell>
          <cell r="W30">
            <v>619.20000000000005</v>
          </cell>
          <cell r="X30">
            <v>911.08500000000004</v>
          </cell>
          <cell r="Y30">
            <v>435</v>
          </cell>
          <cell r="Z30">
            <v>74.2</v>
          </cell>
          <cell r="AA30">
            <v>8.6</v>
          </cell>
          <cell r="AB30">
            <v>615.79999999999995</v>
          </cell>
          <cell r="AC30">
            <v>259.89999999999998</v>
          </cell>
          <cell r="AD30">
            <v>258.8</v>
          </cell>
          <cell r="AE30">
            <v>1185.4000000000001</v>
          </cell>
          <cell r="AF30">
            <v>95</v>
          </cell>
          <cell r="AG30">
            <v>761.3</v>
          </cell>
          <cell r="AH30">
            <v>641.79999999999995</v>
          </cell>
          <cell r="AI30">
            <v>841.4</v>
          </cell>
          <cell r="AJ30">
            <v>33.299999999999997</v>
          </cell>
          <cell r="AK30">
            <v>106.1</v>
          </cell>
          <cell r="AL30">
            <v>148.19999999999999</v>
          </cell>
          <cell r="AM30">
            <v>-228.4</v>
          </cell>
          <cell r="AN30">
            <v>653.5</v>
          </cell>
          <cell r="AO30">
            <v>58.3</v>
          </cell>
          <cell r="AP30">
            <v>212.9</v>
          </cell>
          <cell r="AQ30">
            <v>36.9</v>
          </cell>
          <cell r="BD30">
            <v>435</v>
          </cell>
          <cell r="BE30">
            <v>74.2</v>
          </cell>
          <cell r="BF30">
            <v>8.6</v>
          </cell>
          <cell r="BG30">
            <v>615.79999999999995</v>
          </cell>
          <cell r="BH30">
            <v>259.89999999999998</v>
          </cell>
          <cell r="BI30">
            <v>258.8</v>
          </cell>
          <cell r="BJ30">
            <v>1185.4000000000001</v>
          </cell>
          <cell r="BK30">
            <v>95</v>
          </cell>
          <cell r="BL30">
            <v>761.3</v>
          </cell>
          <cell r="BM30">
            <v>641.79999999999995</v>
          </cell>
          <cell r="BN30">
            <v>841.4</v>
          </cell>
          <cell r="BO30">
            <v>33.299999999999997</v>
          </cell>
          <cell r="BP30">
            <v>106.1</v>
          </cell>
          <cell r="BQ30">
            <v>148.19999999999999</v>
          </cell>
          <cell r="BR30">
            <v>-228.4</v>
          </cell>
          <cell r="BS30">
            <v>653.5</v>
          </cell>
          <cell r="BT30">
            <v>58.3</v>
          </cell>
          <cell r="BU30">
            <v>212.9</v>
          </cell>
          <cell r="BV30">
            <v>36.9</v>
          </cell>
          <cell r="CR30">
            <v>1280.4000000000001</v>
          </cell>
          <cell r="CS30">
            <v>615.79999999999995</v>
          </cell>
          <cell r="CT30">
            <v>6198</v>
          </cell>
          <cell r="CU30">
            <v>2942.3</v>
          </cell>
          <cell r="CV30">
            <v>1165.2579999999998</v>
          </cell>
          <cell r="CW30">
            <v>617.85299999999995</v>
          </cell>
          <cell r="CX30">
            <v>547.40499999999997</v>
          </cell>
          <cell r="CY30">
            <v>2631.0129999999999</v>
          </cell>
          <cell r="CZ30">
            <v>1465.7550000000001</v>
          </cell>
          <cell r="DA30">
            <v>712.29300000000001</v>
          </cell>
          <cell r="DB30">
            <v>753.46199999999999</v>
          </cell>
          <cell r="DC30">
            <v>9.9438167466939102</v>
          </cell>
        </row>
        <row r="31">
          <cell r="A31">
            <v>1996</v>
          </cell>
          <cell r="B31">
            <v>333.9</v>
          </cell>
          <cell r="C31">
            <v>67.5</v>
          </cell>
          <cell r="D31">
            <v>60.2</v>
          </cell>
          <cell r="E31">
            <v>14.9</v>
          </cell>
          <cell r="F31">
            <v>27.9</v>
          </cell>
          <cell r="G31">
            <v>3824.6</v>
          </cell>
          <cell r="H31">
            <v>1041.9000000000001</v>
          </cell>
          <cell r="I31">
            <v>3795.8</v>
          </cell>
          <cell r="J31">
            <v>467.3</v>
          </cell>
          <cell r="K31">
            <v>3776</v>
          </cell>
          <cell r="L31">
            <v>490.4</v>
          </cell>
          <cell r="M31">
            <v>18.2</v>
          </cell>
          <cell r="N31">
            <v>811.80000000000018</v>
          </cell>
          <cell r="O31">
            <v>386</v>
          </cell>
          <cell r="P31">
            <v>190</v>
          </cell>
          <cell r="Q31">
            <v>235</v>
          </cell>
          <cell r="R31">
            <v>863.2</v>
          </cell>
          <cell r="S31">
            <v>2862.8</v>
          </cell>
          <cell r="T31">
            <v>2984</v>
          </cell>
          <cell r="U31">
            <v>1.3</v>
          </cell>
          <cell r="V31">
            <v>108.8</v>
          </cell>
          <cell r="W31">
            <v>639.9</v>
          </cell>
          <cell r="X31">
            <v>911.08500000000004</v>
          </cell>
          <cell r="Y31">
            <v>441.1</v>
          </cell>
          <cell r="Z31">
            <v>73.900000000000006</v>
          </cell>
          <cell r="AA31">
            <v>7.2</v>
          </cell>
          <cell r="AB31">
            <v>608.1</v>
          </cell>
          <cell r="AC31">
            <v>305.89999999999998</v>
          </cell>
          <cell r="AD31">
            <v>248.1</v>
          </cell>
          <cell r="AE31">
            <v>1166.9000000000001</v>
          </cell>
          <cell r="AF31">
            <v>100.9</v>
          </cell>
          <cell r="AG31">
            <v>780.1</v>
          </cell>
          <cell r="AH31">
            <v>725.4</v>
          </cell>
          <cell r="AI31">
            <v>879.2</v>
          </cell>
          <cell r="AJ31">
            <v>34.6</v>
          </cell>
          <cell r="AK31">
            <v>108.2</v>
          </cell>
          <cell r="AL31">
            <v>162.5</v>
          </cell>
          <cell r="AM31">
            <v>-246.9</v>
          </cell>
          <cell r="AN31">
            <v>665.3</v>
          </cell>
          <cell r="AO31">
            <v>55.2</v>
          </cell>
          <cell r="AP31">
            <v>219</v>
          </cell>
          <cell r="AQ31">
            <v>37.5</v>
          </cell>
          <cell r="BD31">
            <v>441.1</v>
          </cell>
          <cell r="BE31">
            <v>73.900000000000006</v>
          </cell>
          <cell r="BF31">
            <v>7.2</v>
          </cell>
          <cell r="BG31">
            <v>608.1</v>
          </cell>
          <cell r="BH31">
            <v>305.89999999999998</v>
          </cell>
          <cell r="BI31">
            <v>248.1</v>
          </cell>
          <cell r="BJ31">
            <v>1166.9000000000001</v>
          </cell>
          <cell r="BK31">
            <v>100.9</v>
          </cell>
          <cell r="BL31">
            <v>780.1</v>
          </cell>
          <cell r="BM31">
            <v>725.4</v>
          </cell>
          <cell r="BN31">
            <v>879.2</v>
          </cell>
          <cell r="BO31">
            <v>34.6</v>
          </cell>
          <cell r="BP31">
            <v>108.2</v>
          </cell>
          <cell r="BQ31">
            <v>162.5</v>
          </cell>
          <cell r="BR31">
            <v>-246.9</v>
          </cell>
          <cell r="BS31">
            <v>665.3</v>
          </cell>
          <cell r="BT31">
            <v>55.2</v>
          </cell>
          <cell r="BU31">
            <v>219</v>
          </cell>
          <cell r="BV31">
            <v>37.5</v>
          </cell>
          <cell r="BW31">
            <v>532.6</v>
          </cell>
          <cell r="BX31">
            <v>116.5</v>
          </cell>
          <cell r="BY31">
            <v>31.2</v>
          </cell>
          <cell r="BZ31">
            <v>1105.7</v>
          </cell>
          <cell r="CA31">
            <v>295.39999999999998</v>
          </cell>
          <cell r="CB31">
            <v>326.5</v>
          </cell>
          <cell r="CC31">
            <v>1405.1</v>
          </cell>
          <cell r="CD31">
            <v>180.2</v>
          </cell>
          <cell r="CE31">
            <v>1138.5999999999999</v>
          </cell>
          <cell r="CF31">
            <v>817.5</v>
          </cell>
          <cell r="CG31">
            <v>1465.4</v>
          </cell>
          <cell r="CH31">
            <v>75</v>
          </cell>
          <cell r="CI31">
            <v>88.8</v>
          </cell>
          <cell r="CJ31">
            <v>280.2</v>
          </cell>
          <cell r="CK31">
            <v>-268.7</v>
          </cell>
          <cell r="CL31">
            <v>1023.1</v>
          </cell>
          <cell r="CM31">
            <v>74.3</v>
          </cell>
          <cell r="CN31">
            <v>261.5</v>
          </cell>
          <cell r="CO31">
            <v>164.4</v>
          </cell>
          <cell r="CP31">
            <v>237.8</v>
          </cell>
          <cell r="CQ31">
            <v>-29</v>
          </cell>
          <cell r="CR31">
            <v>1267.8000000000002</v>
          </cell>
          <cell r="CS31">
            <v>608.1</v>
          </cell>
          <cell r="CT31">
            <v>6372.2000000000007</v>
          </cell>
          <cell r="CU31">
            <v>3021.4</v>
          </cell>
          <cell r="CV31">
            <v>1154.7739999999999</v>
          </cell>
          <cell r="CW31">
            <v>611.71500000000003</v>
          </cell>
          <cell r="CX31">
            <v>543.05899999999997</v>
          </cell>
          <cell r="CY31">
            <v>2687.7550000000001</v>
          </cell>
          <cell r="CZ31">
            <v>1532.981</v>
          </cell>
          <cell r="DA31">
            <v>746.54</v>
          </cell>
          <cell r="DB31">
            <v>786.44100000000003</v>
          </cell>
          <cell r="DC31">
            <v>9.7189760832281973</v>
          </cell>
        </row>
        <row r="32">
          <cell r="A32">
            <v>1997</v>
          </cell>
          <cell r="B32">
            <v>362.9</v>
          </cell>
          <cell r="C32">
            <v>68.7</v>
          </cell>
          <cell r="D32">
            <v>62.8</v>
          </cell>
          <cell r="E32">
            <v>23.5</v>
          </cell>
          <cell r="F32">
            <v>99.9</v>
          </cell>
          <cell r="G32">
            <v>4050.5</v>
          </cell>
          <cell r="H32">
            <v>1181.7</v>
          </cell>
          <cell r="I32">
            <v>4254.3999999999996</v>
          </cell>
          <cell r="J32">
            <v>471.5</v>
          </cell>
          <cell r="K32">
            <v>4003.7</v>
          </cell>
          <cell r="L32">
            <v>508.1</v>
          </cell>
          <cell r="M32">
            <v>17.2</v>
          </cell>
          <cell r="N32">
            <v>952.29999999999973</v>
          </cell>
          <cell r="O32">
            <v>441</v>
          </cell>
          <cell r="P32">
            <v>213</v>
          </cell>
          <cell r="Q32">
            <v>298</v>
          </cell>
          <cell r="R32">
            <v>937.4</v>
          </cell>
          <cell r="S32">
            <v>3098.7000000000003</v>
          </cell>
          <cell r="T32">
            <v>3302.1</v>
          </cell>
          <cell r="U32">
            <v>1.2</v>
          </cell>
          <cell r="V32">
            <v>110.1</v>
          </cell>
          <cell r="W32">
            <v>706.6</v>
          </cell>
          <cell r="X32">
            <v>971.08500000000004</v>
          </cell>
          <cell r="Y32">
            <v>429.2</v>
          </cell>
          <cell r="Z32">
            <v>85.7</v>
          </cell>
          <cell r="AA32">
            <v>13.6</v>
          </cell>
          <cell r="AB32">
            <v>646.79999999999995</v>
          </cell>
          <cell r="AC32">
            <v>308.2</v>
          </cell>
          <cell r="AD32">
            <v>261.8</v>
          </cell>
          <cell r="AE32">
            <v>1273.5</v>
          </cell>
          <cell r="AF32">
            <v>107.7</v>
          </cell>
          <cell r="AG32">
            <v>824.9</v>
          </cell>
          <cell r="AH32">
            <v>729.2</v>
          </cell>
          <cell r="AI32">
            <v>908.8</v>
          </cell>
          <cell r="AJ32">
            <v>38</v>
          </cell>
          <cell r="AK32">
            <v>113.1</v>
          </cell>
          <cell r="AL32">
            <v>174.9</v>
          </cell>
          <cell r="AM32">
            <v>-276</v>
          </cell>
          <cell r="AN32">
            <v>690.6</v>
          </cell>
          <cell r="AO32">
            <v>57</v>
          </cell>
          <cell r="AP32">
            <v>232.1</v>
          </cell>
          <cell r="AQ32">
            <v>38.4</v>
          </cell>
          <cell r="BD32">
            <v>429.2</v>
          </cell>
          <cell r="BE32">
            <v>85.7</v>
          </cell>
          <cell r="BF32">
            <v>13.6</v>
          </cell>
          <cell r="BG32">
            <v>646.79999999999995</v>
          </cell>
          <cell r="BH32">
            <v>308.2</v>
          </cell>
          <cell r="BI32">
            <v>261.8</v>
          </cell>
          <cell r="BJ32">
            <v>1273.5</v>
          </cell>
          <cell r="BK32">
            <v>107.7</v>
          </cell>
          <cell r="BL32">
            <v>824.9</v>
          </cell>
          <cell r="BM32">
            <v>729.2</v>
          </cell>
          <cell r="BN32">
            <v>908.8</v>
          </cell>
          <cell r="BO32">
            <v>38</v>
          </cell>
          <cell r="BP32">
            <v>113.1</v>
          </cell>
          <cell r="BQ32">
            <v>174.9</v>
          </cell>
          <cell r="BR32">
            <v>-276</v>
          </cell>
          <cell r="BS32">
            <v>690.6</v>
          </cell>
          <cell r="BT32">
            <v>57</v>
          </cell>
          <cell r="BU32">
            <v>232.1</v>
          </cell>
          <cell r="BV32">
            <v>38.4</v>
          </cell>
          <cell r="BW32">
            <v>546.6</v>
          </cell>
          <cell r="BX32">
            <v>131.69999999999999</v>
          </cell>
          <cell r="BY32">
            <v>56.4</v>
          </cell>
          <cell r="BZ32">
            <v>1141.7</v>
          </cell>
          <cell r="CA32">
            <v>313.60000000000002</v>
          </cell>
          <cell r="CB32">
            <v>348.5</v>
          </cell>
          <cell r="CC32">
            <v>1577.5</v>
          </cell>
          <cell r="CD32">
            <v>199.6</v>
          </cell>
          <cell r="CE32">
            <v>1252.7</v>
          </cell>
          <cell r="CF32">
            <v>864.8</v>
          </cell>
          <cell r="CG32">
            <v>1537.2</v>
          </cell>
          <cell r="CH32">
            <v>75.599999999999994</v>
          </cell>
          <cell r="CI32">
            <v>109.6</v>
          </cell>
          <cell r="CJ32">
            <v>311.7</v>
          </cell>
          <cell r="CK32">
            <v>-280.89999999999998</v>
          </cell>
          <cell r="CL32">
            <v>1014</v>
          </cell>
          <cell r="CM32">
            <v>78</v>
          </cell>
          <cell r="CN32">
            <v>266.89999999999998</v>
          </cell>
          <cell r="CO32">
            <v>170.4</v>
          </cell>
          <cell r="CP32">
            <v>272.3</v>
          </cell>
          <cell r="CQ32">
            <v>-63.5</v>
          </cell>
          <cell r="CR32">
            <v>1381.2</v>
          </cell>
          <cell r="CS32">
            <v>646.79999999999995</v>
          </cell>
          <cell r="CT32">
            <v>6657.5000000000009</v>
          </cell>
          <cell r="CU32">
            <v>3197.1000000000004</v>
          </cell>
          <cell r="CV32">
            <v>1144.385</v>
          </cell>
          <cell r="CW32">
            <v>605.63800000000003</v>
          </cell>
          <cell r="CX32">
            <v>538.74699999999996</v>
          </cell>
          <cell r="CY32">
            <v>2747.6819999999998</v>
          </cell>
          <cell r="CZ32">
            <v>1603.297</v>
          </cell>
          <cell r="DA32">
            <v>782.43299999999999</v>
          </cell>
          <cell r="DB32">
            <v>820.86400000000003</v>
          </cell>
          <cell r="DC32">
            <v>9.4328132530970503</v>
          </cell>
        </row>
        <row r="33">
          <cell r="A33">
            <v>1998</v>
          </cell>
          <cell r="B33">
            <v>377.3</v>
          </cell>
          <cell r="C33">
            <v>67.5</v>
          </cell>
          <cell r="D33">
            <v>64.400000000000006</v>
          </cell>
          <cell r="E33">
            <v>16.7</v>
          </cell>
          <cell r="F33">
            <v>0</v>
          </cell>
          <cell r="G33">
            <v>4191.6000000000004</v>
          </cell>
          <cell r="H33">
            <v>1342</v>
          </cell>
          <cell r="I33">
            <v>4295.8</v>
          </cell>
          <cell r="J33">
            <v>487.6</v>
          </cell>
          <cell r="K33">
            <v>4147</v>
          </cell>
          <cell r="L33">
            <v>477</v>
          </cell>
          <cell r="M33">
            <v>0</v>
          </cell>
          <cell r="N33">
            <v>903.50000000000045</v>
          </cell>
          <cell r="O33">
            <v>388</v>
          </cell>
          <cell r="P33">
            <v>215</v>
          </cell>
          <cell r="Q33">
            <v>301</v>
          </cell>
          <cell r="R33">
            <v>1004.6</v>
          </cell>
          <cell r="S33">
            <v>3311.2</v>
          </cell>
          <cell r="T33">
            <v>3392.2999999999997</v>
          </cell>
          <cell r="U33">
            <v>0.6916666666666913</v>
          </cell>
          <cell r="V33">
            <v>110.9</v>
          </cell>
          <cell r="W33">
            <v>726.4</v>
          </cell>
          <cell r="X33">
            <v>1037.085</v>
          </cell>
          <cell r="Y33">
            <v>441.9</v>
          </cell>
          <cell r="Z33">
            <v>105.6</v>
          </cell>
          <cell r="AA33">
            <v>16.7</v>
          </cell>
          <cell r="AB33">
            <v>672.1</v>
          </cell>
          <cell r="AC33">
            <v>294</v>
          </cell>
          <cell r="AD33">
            <v>279.39999999999998</v>
          </cell>
          <cell r="AE33">
            <v>1297.8</v>
          </cell>
          <cell r="AF33">
            <v>113.3</v>
          </cell>
          <cell r="AG33">
            <v>914.7</v>
          </cell>
          <cell r="AH33">
            <v>809.4</v>
          </cell>
          <cell r="AI33">
            <v>937.2</v>
          </cell>
          <cell r="AJ33">
            <v>38.6</v>
          </cell>
          <cell r="AK33">
            <v>113.9</v>
          </cell>
          <cell r="AL33">
            <v>184.7</v>
          </cell>
          <cell r="AM33">
            <v>-336.9</v>
          </cell>
          <cell r="AN33">
            <v>711.2</v>
          </cell>
          <cell r="AO33">
            <v>59.4</v>
          </cell>
          <cell r="AP33">
            <v>253.4</v>
          </cell>
          <cell r="AQ33">
            <v>40.799999999999997</v>
          </cell>
          <cell r="BD33">
            <v>441.9</v>
          </cell>
          <cell r="BE33">
            <v>105.6</v>
          </cell>
          <cell r="BF33">
            <v>16.7</v>
          </cell>
          <cell r="BG33">
            <v>672.1</v>
          </cell>
          <cell r="BH33">
            <v>294</v>
          </cell>
          <cell r="BI33">
            <v>279.39999999999998</v>
          </cell>
          <cell r="BJ33">
            <v>1297.8</v>
          </cell>
          <cell r="BK33">
            <v>113.3</v>
          </cell>
          <cell r="BL33">
            <v>914.7</v>
          </cell>
          <cell r="BM33">
            <v>809.4</v>
          </cell>
          <cell r="BN33">
            <v>937.2</v>
          </cell>
          <cell r="BO33">
            <v>38.6</v>
          </cell>
          <cell r="BP33">
            <v>113.9</v>
          </cell>
          <cell r="BQ33">
            <v>184.7</v>
          </cell>
          <cell r="BR33">
            <v>-336.9</v>
          </cell>
          <cell r="BS33">
            <v>711.2</v>
          </cell>
          <cell r="BT33">
            <v>59.4</v>
          </cell>
          <cell r="BU33">
            <v>253.4</v>
          </cell>
          <cell r="BV33">
            <v>40.799999999999997</v>
          </cell>
          <cell r="BW33">
            <v>554</v>
          </cell>
          <cell r="BX33">
            <v>165.3</v>
          </cell>
          <cell r="BY33">
            <v>71.099999999999994</v>
          </cell>
          <cell r="BZ33">
            <v>1167.2</v>
          </cell>
          <cell r="CA33">
            <v>305.8</v>
          </cell>
          <cell r="CB33">
            <v>389.9</v>
          </cell>
          <cell r="CC33">
            <v>1684.4</v>
          </cell>
          <cell r="CD33">
            <v>213.5</v>
          </cell>
          <cell r="CE33">
            <v>1435.9</v>
          </cell>
          <cell r="CF33">
            <v>972.7</v>
          </cell>
          <cell r="CG33">
            <v>1617</v>
          </cell>
          <cell r="CH33">
            <v>76.3</v>
          </cell>
          <cell r="CI33">
            <v>115.9</v>
          </cell>
          <cell r="CJ33">
            <v>344.7</v>
          </cell>
          <cell r="CK33">
            <v>-312.8</v>
          </cell>
          <cell r="CL33">
            <v>1039.4000000000001</v>
          </cell>
          <cell r="CM33">
            <v>79.7</v>
          </cell>
          <cell r="CN33">
            <v>271.7</v>
          </cell>
          <cell r="CO33">
            <v>172.3</v>
          </cell>
          <cell r="CP33">
            <v>323.39999999999998</v>
          </cell>
          <cell r="CQ33">
            <v>-34.4</v>
          </cell>
          <cell r="CR33">
            <v>1411.1</v>
          </cell>
          <cell r="CS33">
            <v>672.1</v>
          </cell>
          <cell r="CT33">
            <v>6947.1999999999989</v>
          </cell>
          <cell r="CU33">
            <v>3414.6</v>
          </cell>
          <cell r="CV33">
            <v>1134.0909999999999</v>
          </cell>
          <cell r="CW33">
            <v>599.62099999999998</v>
          </cell>
          <cell r="CX33">
            <v>534.47</v>
          </cell>
          <cell r="CY33">
            <v>2810.9359999999997</v>
          </cell>
          <cell r="CZ33">
            <v>1676.845</v>
          </cell>
          <cell r="DA33">
            <v>820.05200000000002</v>
          </cell>
          <cell r="DB33">
            <v>856.79300000000001</v>
          </cell>
          <cell r="DC33">
            <v>9.4774786595016938</v>
          </cell>
        </row>
        <row r="34">
          <cell r="A34">
            <v>1999</v>
          </cell>
          <cell r="B34">
            <v>362.8</v>
          </cell>
          <cell r="C34">
            <v>67.7</v>
          </cell>
          <cell r="D34">
            <v>65.099999999999994</v>
          </cell>
          <cell r="E34">
            <v>9.4</v>
          </cell>
          <cell r="F34">
            <v>0</v>
          </cell>
          <cell r="G34">
            <v>4458.5</v>
          </cell>
          <cell r="H34">
            <v>1449</v>
          </cell>
          <cell r="I34">
            <v>4474.5</v>
          </cell>
          <cell r="J34">
            <v>524.29999999999995</v>
          </cell>
          <cell r="K34">
            <v>4413.5</v>
          </cell>
          <cell r="L34">
            <v>488.3</v>
          </cell>
          <cell r="M34">
            <v>0</v>
          </cell>
          <cell r="N34">
            <v>896.5</v>
          </cell>
          <cell r="O34">
            <v>0</v>
          </cell>
          <cell r="P34">
            <v>743</v>
          </cell>
          <cell r="Q34">
            <v>152</v>
          </cell>
          <cell r="R34">
            <v>1041.9000000000001</v>
          </cell>
          <cell r="S34">
            <v>3503.5</v>
          </cell>
          <cell r="T34">
            <v>3578</v>
          </cell>
          <cell r="U34">
            <v>1.4416666666666629</v>
          </cell>
          <cell r="V34">
            <v>112.5</v>
          </cell>
          <cell r="W34">
            <v>754.5</v>
          </cell>
          <cell r="X34">
            <v>1169.4649999999999</v>
          </cell>
          <cell r="Y34">
            <v>478.7</v>
          </cell>
          <cell r="Z34">
            <v>80.2</v>
          </cell>
          <cell r="AA34">
            <v>19.3</v>
          </cell>
          <cell r="AB34">
            <v>622</v>
          </cell>
          <cell r="AC34">
            <v>346.6</v>
          </cell>
          <cell r="AD34">
            <v>324</v>
          </cell>
          <cell r="AE34">
            <v>1252</v>
          </cell>
          <cell r="AF34">
            <v>117.8</v>
          </cell>
          <cell r="AG34">
            <v>1010.8</v>
          </cell>
          <cell r="AH34">
            <v>913.5</v>
          </cell>
          <cell r="AI34">
            <v>981.3</v>
          </cell>
          <cell r="AJ34">
            <v>38.799999999999997</v>
          </cell>
          <cell r="AK34">
            <v>120.5</v>
          </cell>
          <cell r="AL34">
            <v>198.3</v>
          </cell>
          <cell r="AM34">
            <v>-406.4</v>
          </cell>
          <cell r="AN34">
            <v>721.3</v>
          </cell>
          <cell r="AO34">
            <v>60.3</v>
          </cell>
          <cell r="AP34">
            <v>249.5</v>
          </cell>
          <cell r="AQ34">
            <v>41.4</v>
          </cell>
          <cell r="BD34">
            <v>478.7</v>
          </cell>
          <cell r="BE34">
            <v>80.2</v>
          </cell>
          <cell r="BF34">
            <v>19.3</v>
          </cell>
          <cell r="BG34">
            <v>622</v>
          </cell>
          <cell r="BH34">
            <v>346.6</v>
          </cell>
          <cell r="BI34">
            <v>324</v>
          </cell>
          <cell r="BJ34">
            <v>1252</v>
          </cell>
          <cell r="BK34">
            <v>117.8</v>
          </cell>
          <cell r="BL34">
            <v>1010.8</v>
          </cell>
          <cell r="BM34">
            <v>913.5</v>
          </cell>
          <cell r="BN34">
            <v>981.3</v>
          </cell>
          <cell r="BO34">
            <v>38.799999999999997</v>
          </cell>
          <cell r="BP34">
            <v>120.5</v>
          </cell>
          <cell r="BQ34">
            <v>198.3</v>
          </cell>
          <cell r="BR34">
            <v>-406.4</v>
          </cell>
          <cell r="BS34">
            <v>721.3</v>
          </cell>
          <cell r="BT34">
            <v>60.3</v>
          </cell>
          <cell r="BU34">
            <v>249.5</v>
          </cell>
          <cell r="BV34">
            <v>41.4</v>
          </cell>
          <cell r="BW34">
            <v>594.5</v>
          </cell>
          <cell r="BX34">
            <v>132.19999999999999</v>
          </cell>
          <cell r="BY34">
            <v>88.1</v>
          </cell>
          <cell r="BZ34">
            <v>1179.5999999999999</v>
          </cell>
          <cell r="CA34">
            <v>342.5</v>
          </cell>
          <cell r="CB34">
            <v>530.20000000000005</v>
          </cell>
          <cell r="CC34">
            <v>1586.7</v>
          </cell>
          <cell r="CD34">
            <v>236.4</v>
          </cell>
          <cell r="CE34">
            <v>1531.6</v>
          </cell>
          <cell r="CF34">
            <v>1024.2</v>
          </cell>
          <cell r="CG34">
            <v>1715.1</v>
          </cell>
          <cell r="CH34">
            <v>77.099999999999994</v>
          </cell>
          <cell r="CI34">
            <v>135.69999999999999</v>
          </cell>
          <cell r="CJ34">
            <v>379.5</v>
          </cell>
          <cell r="CK34">
            <v>-373.9</v>
          </cell>
          <cell r="CL34">
            <v>1047.8</v>
          </cell>
          <cell r="CM34">
            <v>77.400000000000006</v>
          </cell>
          <cell r="CN34">
            <v>263.60000000000002</v>
          </cell>
          <cell r="CO34">
            <v>176.6</v>
          </cell>
          <cell r="CP34">
            <v>366.7</v>
          </cell>
          <cell r="CQ34">
            <v>-41.3</v>
          </cell>
          <cell r="CR34">
            <v>1369.8</v>
          </cell>
          <cell r="CS34">
            <v>622</v>
          </cell>
          <cell r="CT34">
            <v>7169.9000000000005</v>
          </cell>
          <cell r="CU34">
            <v>3618.1</v>
          </cell>
          <cell r="CV34">
            <v>1123.8910000000001</v>
          </cell>
          <cell r="CW34">
            <v>593.66399999999999</v>
          </cell>
          <cell r="CX34">
            <v>530.22699999999998</v>
          </cell>
          <cell r="CY34">
            <v>2877.6660000000002</v>
          </cell>
          <cell r="CZ34">
            <v>1753.7750000000001</v>
          </cell>
          <cell r="DA34">
            <v>859.48</v>
          </cell>
          <cell r="DB34">
            <v>894.29499999999996</v>
          </cell>
          <cell r="DC34">
            <v>8.5173840134153149</v>
          </cell>
        </row>
        <row r="35">
          <cell r="A35">
            <v>2000</v>
          </cell>
          <cell r="B35">
            <v>429.4</v>
          </cell>
          <cell r="C35">
            <v>73</v>
          </cell>
          <cell r="D35">
            <v>54.9</v>
          </cell>
          <cell r="E35">
            <v>9.6</v>
          </cell>
          <cell r="F35">
            <v>0</v>
          </cell>
          <cell r="G35">
            <v>4886.6000000000004</v>
          </cell>
          <cell r="H35">
            <v>1569.2</v>
          </cell>
          <cell r="I35">
            <v>4967.5</v>
          </cell>
          <cell r="J35">
            <v>506.4</v>
          </cell>
          <cell r="K35">
            <v>4850</v>
          </cell>
          <cell r="L35">
            <v>542.70000000000005</v>
          </cell>
          <cell r="M35">
            <v>0.2</v>
          </cell>
          <cell r="N35">
            <v>1166.4000000000001</v>
          </cell>
          <cell r="O35">
            <v>0</v>
          </cell>
          <cell r="P35">
            <v>919</v>
          </cell>
          <cell r="Q35">
            <v>173</v>
          </cell>
          <cell r="R35">
            <v>1118.0999999999999</v>
          </cell>
          <cell r="S35">
            <v>3736.4</v>
          </cell>
          <cell r="T35">
            <v>3801.1</v>
          </cell>
          <cell r="U35">
            <v>1.625</v>
          </cell>
          <cell r="V35">
            <v>114.3</v>
          </cell>
          <cell r="W35">
            <v>777</v>
          </cell>
          <cell r="X35">
            <v>1081.2550000000001</v>
          </cell>
          <cell r="Y35">
            <v>475</v>
          </cell>
          <cell r="Z35">
            <v>93</v>
          </cell>
          <cell r="AA35">
            <v>18</v>
          </cell>
          <cell r="AB35">
            <v>589.20000000000005</v>
          </cell>
          <cell r="AC35">
            <v>387.4</v>
          </cell>
          <cell r="AD35">
            <v>332.1</v>
          </cell>
          <cell r="AE35">
            <v>1271.3</v>
          </cell>
          <cell r="AF35">
            <v>121.8</v>
          </cell>
          <cell r="AG35">
            <v>1112.0999999999999</v>
          </cell>
          <cell r="AH35">
            <v>938.2</v>
          </cell>
          <cell r="AI35">
            <v>1019</v>
          </cell>
          <cell r="AJ35">
            <v>41</v>
          </cell>
          <cell r="AK35">
            <v>114.8</v>
          </cell>
          <cell r="AL35">
            <v>185.4</v>
          </cell>
          <cell r="AM35">
            <v>-485.4</v>
          </cell>
          <cell r="AN35">
            <v>775.9</v>
          </cell>
          <cell r="AO35">
            <v>62.9</v>
          </cell>
          <cell r="AP35">
            <v>252</v>
          </cell>
          <cell r="AQ35">
            <v>42</v>
          </cell>
          <cell r="BD35">
            <v>475</v>
          </cell>
          <cell r="BE35">
            <v>93</v>
          </cell>
          <cell r="BF35">
            <v>18</v>
          </cell>
          <cell r="BG35">
            <v>589.20000000000005</v>
          </cell>
          <cell r="BH35">
            <v>387.4</v>
          </cell>
          <cell r="BI35">
            <v>332.1</v>
          </cell>
          <cell r="BJ35">
            <v>1271.3</v>
          </cell>
          <cell r="BK35">
            <v>121.8</v>
          </cell>
          <cell r="BL35">
            <v>1112.0999999999999</v>
          </cell>
          <cell r="BM35">
            <v>938.2</v>
          </cell>
          <cell r="BN35">
            <v>1019</v>
          </cell>
          <cell r="BO35">
            <v>41</v>
          </cell>
          <cell r="BP35">
            <v>114.8</v>
          </cell>
          <cell r="BQ35">
            <v>185.4</v>
          </cell>
          <cell r="BR35">
            <v>-485.4</v>
          </cell>
          <cell r="BS35">
            <v>775.9</v>
          </cell>
          <cell r="BT35">
            <v>62.9</v>
          </cell>
          <cell r="BU35">
            <v>252</v>
          </cell>
          <cell r="BV35">
            <v>42</v>
          </cell>
          <cell r="BW35">
            <v>599.9</v>
          </cell>
          <cell r="BX35">
            <v>197.8</v>
          </cell>
          <cell r="BY35">
            <v>78.8</v>
          </cell>
          <cell r="BZ35">
            <v>1095.2</v>
          </cell>
          <cell r="CA35">
            <v>374.5</v>
          </cell>
          <cell r="CB35">
            <v>536.9</v>
          </cell>
          <cell r="CC35">
            <v>1658.1</v>
          </cell>
          <cell r="CD35">
            <v>234.5</v>
          </cell>
          <cell r="CE35">
            <v>1723.8</v>
          </cell>
          <cell r="CF35">
            <v>1123.3</v>
          </cell>
          <cell r="CG35">
            <v>1776.6</v>
          </cell>
          <cell r="CH35">
            <v>79.900000000000006</v>
          </cell>
          <cell r="CI35">
            <v>133</v>
          </cell>
          <cell r="CJ35">
            <v>350.3</v>
          </cell>
          <cell r="CK35">
            <v>-416.4</v>
          </cell>
          <cell r="CL35">
            <v>1067</v>
          </cell>
          <cell r="CM35">
            <v>79.7</v>
          </cell>
          <cell r="CN35">
            <v>220.9</v>
          </cell>
          <cell r="CO35">
            <v>154.5</v>
          </cell>
          <cell r="CP35">
            <v>348.6</v>
          </cell>
          <cell r="CQ35">
            <v>-46</v>
          </cell>
          <cell r="CR35">
            <v>1393.1</v>
          </cell>
          <cell r="CS35">
            <v>589.20000000000005</v>
          </cell>
          <cell r="CT35">
            <v>7345.6999999999989</v>
          </cell>
          <cell r="CU35">
            <v>3775.5</v>
          </cell>
          <cell r="CV35">
            <v>1113.7829999999999</v>
          </cell>
          <cell r="CW35">
            <v>587.76599999999996</v>
          </cell>
          <cell r="CX35">
            <v>526.01700000000005</v>
          </cell>
          <cell r="CY35">
            <v>2948.0230000000001</v>
          </cell>
          <cell r="CZ35">
            <v>1834.24</v>
          </cell>
          <cell r="DA35">
            <v>900.80200000000002</v>
          </cell>
          <cell r="DB35">
            <v>933.43799999999999</v>
          </cell>
          <cell r="DC35">
            <v>9.3398160540763495</v>
          </cell>
        </row>
        <row r="36">
          <cell r="A36">
            <v>2001</v>
          </cell>
          <cell r="B36">
            <v>459.9</v>
          </cell>
          <cell r="C36">
            <v>69.920965353748414</v>
          </cell>
          <cell r="D36">
            <v>81.2</v>
          </cell>
          <cell r="E36">
            <v>10.7</v>
          </cell>
          <cell r="F36">
            <v>1E-4</v>
          </cell>
          <cell r="G36">
            <v>5124.5</v>
          </cell>
          <cell r="H36">
            <v>1619</v>
          </cell>
          <cell r="I36">
            <v>4999.8999999999996</v>
          </cell>
          <cell r="J36">
            <v>480.6</v>
          </cell>
          <cell r="K36">
            <v>5075</v>
          </cell>
          <cell r="L36">
            <v>577.9</v>
          </cell>
          <cell r="M36">
            <v>3.2</v>
          </cell>
          <cell r="N36">
            <v>1065.9998999999998</v>
          </cell>
          <cell r="O36">
            <v>0</v>
          </cell>
          <cell r="P36">
            <v>980</v>
          </cell>
          <cell r="Q36">
            <v>134</v>
          </cell>
          <cell r="R36">
            <v>1161.3</v>
          </cell>
          <cell r="S36">
            <v>3838.8001000000004</v>
          </cell>
          <cell r="T36">
            <v>3933.9000999999998</v>
          </cell>
          <cell r="U36">
            <v>0.34166666666665435</v>
          </cell>
          <cell r="V36">
            <v>114.7</v>
          </cell>
          <cell r="W36">
            <v>816.3</v>
          </cell>
          <cell r="X36">
            <v>1088.865</v>
          </cell>
          <cell r="Y36">
            <v>459.4</v>
          </cell>
          <cell r="Z36">
            <v>112.9</v>
          </cell>
          <cell r="AA36">
            <v>15.7</v>
          </cell>
          <cell r="AB36">
            <v>555.6</v>
          </cell>
          <cell r="AC36">
            <v>387.6</v>
          </cell>
          <cell r="AD36">
            <v>299.89999999999998</v>
          </cell>
          <cell r="AE36">
            <v>1247.7</v>
          </cell>
          <cell r="AF36">
            <v>120.2</v>
          </cell>
          <cell r="AG36">
            <v>1162.9000000000001</v>
          </cell>
          <cell r="AH36">
            <v>945.3</v>
          </cell>
          <cell r="AI36">
            <v>1047.9000000000001</v>
          </cell>
          <cell r="AJ36">
            <v>42.1</v>
          </cell>
          <cell r="AK36">
            <v>110.4</v>
          </cell>
          <cell r="AL36">
            <v>190.1</v>
          </cell>
          <cell r="AM36">
            <v>-441.8</v>
          </cell>
          <cell r="AN36">
            <v>762.7</v>
          </cell>
          <cell r="AO36">
            <v>63.7</v>
          </cell>
          <cell r="AP36">
            <v>246.5</v>
          </cell>
          <cell r="AQ36">
            <v>36.4</v>
          </cell>
          <cell r="BD36">
            <v>459.4</v>
          </cell>
          <cell r="BE36">
            <v>112.9</v>
          </cell>
          <cell r="BF36">
            <v>15.7</v>
          </cell>
          <cell r="BG36">
            <v>555.6</v>
          </cell>
          <cell r="BH36">
            <v>387.6</v>
          </cell>
          <cell r="BI36">
            <v>299.89999999999998</v>
          </cell>
          <cell r="BJ36">
            <v>1247.7</v>
          </cell>
          <cell r="BK36">
            <v>120.2</v>
          </cell>
          <cell r="BL36">
            <v>1162.9000000000001</v>
          </cell>
          <cell r="BM36">
            <v>945.3</v>
          </cell>
          <cell r="BN36">
            <v>1047.9000000000001</v>
          </cell>
          <cell r="BO36">
            <v>42.1</v>
          </cell>
          <cell r="BP36">
            <v>110.4</v>
          </cell>
          <cell r="BQ36">
            <v>190.1</v>
          </cell>
          <cell r="BR36">
            <v>-441.8</v>
          </cell>
          <cell r="BS36">
            <v>762.7</v>
          </cell>
          <cell r="BT36">
            <v>63.7</v>
          </cell>
          <cell r="BU36">
            <v>246.5</v>
          </cell>
          <cell r="BV36">
            <v>36.4</v>
          </cell>
          <cell r="BW36">
            <v>588.29999999999995</v>
          </cell>
          <cell r="BX36">
            <v>261</v>
          </cell>
          <cell r="BY36">
            <v>75.599999999999994</v>
          </cell>
          <cell r="BZ36">
            <v>1026.3</v>
          </cell>
          <cell r="CA36">
            <v>357</v>
          </cell>
          <cell r="CB36">
            <v>419.9</v>
          </cell>
          <cell r="CC36">
            <v>1703.5</v>
          </cell>
          <cell r="CD36">
            <v>259.2</v>
          </cell>
          <cell r="CE36">
            <v>1767.5</v>
          </cell>
          <cell r="CF36">
            <v>1090.4000000000001</v>
          </cell>
          <cell r="CG36">
            <v>1794.4</v>
          </cell>
          <cell r="CH36">
            <v>82.4</v>
          </cell>
          <cell r="CI36">
            <v>111.9</v>
          </cell>
          <cell r="CJ36">
            <v>368.9</v>
          </cell>
          <cell r="CK36">
            <v>-369</v>
          </cell>
          <cell r="CL36">
            <v>1128.9000000000001</v>
          </cell>
          <cell r="CM36">
            <v>84.3</v>
          </cell>
          <cell r="CN36">
            <v>208.9</v>
          </cell>
          <cell r="CO36">
            <v>139.69999999999999</v>
          </cell>
          <cell r="CP36">
            <v>397.1</v>
          </cell>
          <cell r="CQ36">
            <v>-60</v>
          </cell>
          <cell r="CR36">
            <v>1367.9</v>
          </cell>
          <cell r="CS36">
            <v>555.6</v>
          </cell>
          <cell r="CT36">
            <v>7365.2</v>
          </cell>
          <cell r="CU36">
            <v>3776</v>
          </cell>
          <cell r="CV36">
            <v>1126.412</v>
          </cell>
          <cell r="CW36">
            <v>593.61099999999999</v>
          </cell>
          <cell r="CX36">
            <v>532.80100000000004</v>
          </cell>
          <cell r="CY36">
            <v>3003.9539999999997</v>
          </cell>
          <cell r="CZ36">
            <v>1877.5419999999999</v>
          </cell>
          <cell r="DA36">
            <v>922.99099999999999</v>
          </cell>
          <cell r="DB36">
            <v>954.55100000000004</v>
          </cell>
          <cell r="DC36">
            <v>9.6318225581017423</v>
          </cell>
        </row>
        <row r="37">
          <cell r="A37">
            <v>2002</v>
          </cell>
          <cell r="B37">
            <v>450.2</v>
          </cell>
          <cell r="C37">
            <v>71.478958052335898</v>
          </cell>
          <cell r="D37">
            <v>79.2</v>
          </cell>
          <cell r="E37">
            <v>9</v>
          </cell>
          <cell r="F37">
            <v>1E-4</v>
          </cell>
          <cell r="G37">
            <v>5292.3</v>
          </cell>
          <cell r="H37">
            <v>1733.6</v>
          </cell>
          <cell r="I37">
            <v>5221.7</v>
          </cell>
          <cell r="J37">
            <v>438.7</v>
          </cell>
          <cell r="K37">
            <v>5235</v>
          </cell>
          <cell r="L37">
            <v>581.29999999999995</v>
          </cell>
          <cell r="M37">
            <v>10.3</v>
          </cell>
          <cell r="N37">
            <v>1108.5999000000002</v>
          </cell>
          <cell r="O37">
            <v>0</v>
          </cell>
          <cell r="P37">
            <v>739.12437</v>
          </cell>
          <cell r="Q37">
            <v>186.80153603999989</v>
          </cell>
          <cell r="R37">
            <v>1261</v>
          </cell>
          <cell r="S37">
            <v>4014.6000999999997</v>
          </cell>
          <cell r="T37">
            <v>4113.1000999999997</v>
          </cell>
          <cell r="U37">
            <v>1.1999999999999886</v>
          </cell>
          <cell r="V37">
            <v>116.1</v>
          </cell>
          <cell r="W37">
            <v>833.93</v>
          </cell>
          <cell r="X37">
            <v>1229.095</v>
          </cell>
          <cell r="Y37">
            <v>441.36134625191232</v>
          </cell>
          <cell r="Z37">
            <v>135.09068965517244</v>
          </cell>
          <cell r="AA37">
            <v>18.545105820105817</v>
          </cell>
          <cell r="AB37">
            <v>540.98322128032737</v>
          </cell>
          <cell r="AC37">
            <v>414.2</v>
          </cell>
          <cell r="AD37">
            <v>278.54489164086687</v>
          </cell>
          <cell r="AE37">
            <v>1221.7718638098033</v>
          </cell>
          <cell r="AF37">
            <v>128.63996913580246</v>
          </cell>
          <cell r="AG37">
            <v>1186.3882772277229</v>
          </cell>
          <cell r="AH37">
            <v>877.24602898019066</v>
          </cell>
          <cell r="AI37">
            <v>1090.5891941596078</v>
          </cell>
          <cell r="AJ37">
            <v>43.32621359223301</v>
          </cell>
          <cell r="AK37">
            <v>117.10884718498659</v>
          </cell>
          <cell r="AL37">
            <v>200.1486581729466</v>
          </cell>
          <cell r="AM37">
            <v>-345.05897018970188</v>
          </cell>
          <cell r="AN37">
            <v>791.34600938967128</v>
          </cell>
          <cell r="AO37">
            <v>70.349584816132861</v>
          </cell>
          <cell r="AP37">
            <v>249.56797510770704</v>
          </cell>
          <cell r="AQ37">
            <v>35.618324982104504</v>
          </cell>
          <cell r="BW37">
            <v>565.20000000000005</v>
          </cell>
          <cell r="BX37">
            <v>312.3</v>
          </cell>
          <cell r="BY37">
            <v>89.3</v>
          </cell>
          <cell r="BZ37">
            <v>999.3</v>
          </cell>
          <cell r="CA37">
            <v>381.5</v>
          </cell>
          <cell r="CB37">
            <v>390</v>
          </cell>
          <cell r="CC37">
            <v>1668.1</v>
          </cell>
          <cell r="CD37">
            <v>277.39999999999998</v>
          </cell>
          <cell r="CE37">
            <v>1803.2</v>
          </cell>
          <cell r="CF37">
            <v>1011.9</v>
          </cell>
          <cell r="CG37">
            <v>1867.5</v>
          </cell>
          <cell r="CH37">
            <v>84.8</v>
          </cell>
          <cell r="CI37">
            <v>118.7</v>
          </cell>
          <cell r="CJ37">
            <v>388.4</v>
          </cell>
          <cell r="CK37">
            <v>-288.2</v>
          </cell>
          <cell r="CL37">
            <v>1171.3</v>
          </cell>
          <cell r="CM37">
            <v>93.1</v>
          </cell>
          <cell r="CN37">
            <v>211.5</v>
          </cell>
          <cell r="CO37">
            <v>136.69999999999999</v>
          </cell>
          <cell r="CP37">
            <v>460.8</v>
          </cell>
          <cell r="CQ37">
            <v>-51.8</v>
          </cell>
          <cell r="CR37">
            <v>1350.4118329456057</v>
          </cell>
          <cell r="CS37">
            <v>540.98322128032737</v>
          </cell>
          <cell r="CT37">
            <v>7495.7672310175913</v>
          </cell>
          <cell r="CU37">
            <v>3692.5910307943864</v>
          </cell>
          <cell r="CV37">
            <v>1139.0729999999999</v>
          </cell>
          <cell r="CW37">
            <v>599.45399999999995</v>
          </cell>
          <cell r="CX37">
            <v>539.61900000000003</v>
          </cell>
          <cell r="CY37">
            <v>3060.09</v>
          </cell>
          <cell r="CZ37">
            <v>1921.0170000000001</v>
          </cell>
          <cell r="DA37">
            <v>945.27300000000002</v>
          </cell>
          <cell r="DB37">
            <v>975.74400000000003</v>
          </cell>
          <cell r="DC37">
            <v>8.9091403456268008</v>
          </cell>
        </row>
        <row r="38">
          <cell r="A38">
            <v>2003</v>
          </cell>
          <cell r="B38">
            <v>499.2</v>
          </cell>
          <cell r="C38">
            <v>70.767195556944429</v>
          </cell>
          <cell r="D38">
            <v>94.9</v>
          </cell>
          <cell r="E38">
            <v>8.5577000000000005</v>
          </cell>
          <cell r="F38">
            <v>1E-4</v>
          </cell>
          <cell r="G38">
            <v>5576.6</v>
          </cell>
          <cell r="H38">
            <v>1947.9</v>
          </cell>
          <cell r="I38">
            <v>5342.6</v>
          </cell>
          <cell r="J38">
            <v>321.64300000000003</v>
          </cell>
          <cell r="K38">
            <v>5520.5</v>
          </cell>
          <cell r="L38">
            <v>589.9</v>
          </cell>
          <cell r="M38">
            <v>2.7</v>
          </cell>
          <cell r="N38">
            <v>1035.7992000000004</v>
          </cell>
          <cell r="O38">
            <v>0</v>
          </cell>
          <cell r="P38">
            <v>733.9989999999998</v>
          </cell>
          <cell r="Q38">
            <v>150.85770638999992</v>
          </cell>
          <cell r="R38">
            <v>1341.2</v>
          </cell>
          <cell r="S38">
            <v>4200.6431000000002</v>
          </cell>
          <cell r="T38">
            <v>4306.8008</v>
          </cell>
          <cell r="U38">
            <v>1.591666666666697</v>
          </cell>
          <cell r="V38">
            <v>117.9</v>
          </cell>
          <cell r="W38">
            <v>861.82</v>
          </cell>
          <cell r="X38">
            <v>1361.1949999999999</v>
          </cell>
          <cell r="Y38">
            <v>453.77756246812851</v>
          </cell>
          <cell r="Z38">
            <v>163.42383141762454</v>
          </cell>
          <cell r="AA38">
            <v>25.107539682539681</v>
          </cell>
          <cell r="AB38">
            <v>522.63104355451617</v>
          </cell>
          <cell r="AC38">
            <v>420.17142857142858</v>
          </cell>
          <cell r="AD38">
            <v>369.0362705406049</v>
          </cell>
          <cell r="AE38">
            <v>1235.4683651306134</v>
          </cell>
          <cell r="AF38">
            <v>141.99552469135801</v>
          </cell>
          <cell r="AG38">
            <v>1315.2119377652052</v>
          </cell>
          <cell r="AH38">
            <v>814.39363536316944</v>
          </cell>
          <cell r="AI38">
            <v>1142.0381408827463</v>
          </cell>
          <cell r="AJ38">
            <v>45.318810679611659</v>
          </cell>
          <cell r="AK38">
            <v>121.25254691689007</v>
          </cell>
          <cell r="AL38">
            <v>203.44667931688807</v>
          </cell>
          <cell r="AM38">
            <v>-359.42644986449864</v>
          </cell>
          <cell r="AN38">
            <v>802.62875365399941</v>
          </cell>
          <cell r="AO38">
            <v>71.860854092526694</v>
          </cell>
          <cell r="AP38">
            <v>233.8741024413595</v>
          </cell>
          <cell r="AQ38">
            <v>36.512536182864686</v>
          </cell>
          <cell r="BW38">
            <v>581.1</v>
          </cell>
          <cell r="BX38">
            <v>377.8</v>
          </cell>
          <cell r="BY38">
            <v>120.9</v>
          </cell>
          <cell r="BZ38">
            <v>965.4</v>
          </cell>
          <cell r="CA38">
            <v>387</v>
          </cell>
          <cell r="CB38">
            <v>516.70000000000005</v>
          </cell>
          <cell r="CC38">
            <v>1686.8</v>
          </cell>
          <cell r="CD38">
            <v>306.2</v>
          </cell>
          <cell r="CE38">
            <v>1999</v>
          </cell>
          <cell r="CF38">
            <v>939.4</v>
          </cell>
          <cell r="CG38">
            <v>1955.6</v>
          </cell>
          <cell r="CH38">
            <v>88.7</v>
          </cell>
          <cell r="CI38">
            <v>122.9</v>
          </cell>
          <cell r="CJ38">
            <v>394.8</v>
          </cell>
          <cell r="CK38">
            <v>-300.2</v>
          </cell>
          <cell r="CL38">
            <v>1188</v>
          </cell>
          <cell r="CM38">
            <v>95.1</v>
          </cell>
          <cell r="CN38">
            <v>198.2</v>
          </cell>
          <cell r="CO38">
            <v>139.19999999999999</v>
          </cell>
          <cell r="CP38">
            <v>465.6</v>
          </cell>
          <cell r="CQ38">
            <v>-45.4</v>
          </cell>
          <cell r="CR38">
            <v>1377.4638898219714</v>
          </cell>
          <cell r="CS38">
            <v>522.63104355451617</v>
          </cell>
          <cell r="CT38">
            <v>7758.7231134875765</v>
          </cell>
          <cell r="CU38">
            <v>3876.1057334909506</v>
          </cell>
          <cell r="CV38">
            <v>1151.76</v>
          </cell>
          <cell r="CW38">
            <v>605.31299999999999</v>
          </cell>
          <cell r="CX38">
            <v>546.447</v>
          </cell>
          <cell r="CY38">
            <v>3116.277</v>
          </cell>
          <cell r="CZ38">
            <v>1964.5170000000001</v>
          </cell>
          <cell r="DA38">
            <v>967.53700000000003</v>
          </cell>
          <cell r="DB38">
            <v>996.98</v>
          </cell>
          <cell r="DC38">
            <v>9.290472347933532</v>
          </cell>
        </row>
        <row r="39">
          <cell r="A39">
            <v>2004</v>
          </cell>
          <cell r="B39">
            <v>544.29999999999995</v>
          </cell>
          <cell r="C39">
            <v>70.435142774348108</v>
          </cell>
          <cell r="D39">
            <v>106.8</v>
          </cell>
          <cell r="E39">
            <v>5</v>
          </cell>
          <cell r="F39">
            <v>1E-4</v>
          </cell>
          <cell r="G39">
            <v>5760.4</v>
          </cell>
          <cell r="H39">
            <v>2065.1999999999998</v>
          </cell>
          <cell r="I39">
            <v>5571</v>
          </cell>
          <cell r="J39">
            <v>337</v>
          </cell>
          <cell r="K39">
            <v>5700.1</v>
          </cell>
          <cell r="L39">
            <v>635.79999999999995</v>
          </cell>
          <cell r="M39">
            <v>7.7</v>
          </cell>
          <cell r="N39">
            <v>975.79990000000089</v>
          </cell>
          <cell r="O39">
            <v>0</v>
          </cell>
          <cell r="P39">
            <v>659.78813999999966</v>
          </cell>
          <cell r="Q39">
            <v>184.23</v>
          </cell>
          <cell r="R39">
            <v>1437.7</v>
          </cell>
          <cell r="S39">
            <v>4475.7001</v>
          </cell>
          <cell r="T39">
            <v>4595.2000999999991</v>
          </cell>
          <cell r="U39">
            <v>1.9999999999999858</v>
          </cell>
          <cell r="V39">
            <v>120.3</v>
          </cell>
          <cell r="W39">
            <v>902.9</v>
          </cell>
          <cell r="X39">
            <v>1314.1949999999999</v>
          </cell>
          <cell r="Y39">
            <v>462.99211286758452</v>
          </cell>
          <cell r="Z39">
            <v>163.94291187739464</v>
          </cell>
          <cell r="AA39">
            <v>28.24338624338624</v>
          </cell>
          <cell r="AB39">
            <v>533.51242326805016</v>
          </cell>
          <cell r="AC39">
            <v>445.79428571428571</v>
          </cell>
          <cell r="AD39">
            <v>420.38852107644669</v>
          </cell>
          <cell r="AE39">
            <v>1378.3660874669797</v>
          </cell>
          <cell r="AF39">
            <v>161.19413580246916</v>
          </cell>
          <cell r="AG39">
            <v>1510.8159943422916</v>
          </cell>
          <cell r="AH39">
            <v>768.96652604548785</v>
          </cell>
          <cell r="AI39">
            <v>1228.1757077574678</v>
          </cell>
          <cell r="AJ39">
            <v>47.413592233009709</v>
          </cell>
          <cell r="AK39">
            <v>127.76407506702412</v>
          </cell>
          <cell r="AL39">
            <v>211.43407427487128</v>
          </cell>
          <cell r="AM39">
            <v>-314.28861788617888</v>
          </cell>
          <cell r="AN39">
            <v>822.22154309504822</v>
          </cell>
          <cell r="AO39">
            <v>77.603677342823261</v>
          </cell>
          <cell r="AP39">
            <v>245.32000957395886</v>
          </cell>
          <cell r="AQ39">
            <v>38.705638105896959</v>
          </cell>
          <cell r="BW39">
            <v>592.9</v>
          </cell>
          <cell r="BX39">
            <v>379</v>
          </cell>
          <cell r="BY39">
            <v>136</v>
          </cell>
          <cell r="BZ39">
            <v>985.5</v>
          </cell>
          <cell r="CA39">
            <v>410.6</v>
          </cell>
          <cell r="CB39">
            <v>588.6</v>
          </cell>
          <cell r="CC39">
            <v>1881.9</v>
          </cell>
          <cell r="CD39">
            <v>347.6</v>
          </cell>
          <cell r="CE39">
            <v>2296.3000000000002</v>
          </cell>
          <cell r="CF39">
            <v>887</v>
          </cell>
          <cell r="CG39">
            <v>2103.1</v>
          </cell>
          <cell r="CH39">
            <v>92.8</v>
          </cell>
          <cell r="CI39">
            <v>129.5</v>
          </cell>
          <cell r="CJ39">
            <v>410.3</v>
          </cell>
          <cell r="CK39">
            <v>-262.5</v>
          </cell>
          <cell r="CL39">
            <v>1217</v>
          </cell>
          <cell r="CM39">
            <v>102.7</v>
          </cell>
          <cell r="CN39">
            <v>207.9</v>
          </cell>
          <cell r="CO39">
            <v>170.7</v>
          </cell>
          <cell r="CP39">
            <v>500</v>
          </cell>
          <cell r="CQ39">
            <v>-77.7</v>
          </cell>
          <cell r="CR39">
            <v>1539.5602232694489</v>
          </cell>
          <cell r="CS39">
            <v>533.51242326805016</v>
          </cell>
          <cell r="CT39">
            <v>8358.5660842682973</v>
          </cell>
          <cell r="CU39">
            <v>4239.7312647336748</v>
          </cell>
          <cell r="CV39">
            <v>1164.4679999999998</v>
          </cell>
          <cell r="CW39">
            <v>611.16999999999996</v>
          </cell>
          <cell r="CX39">
            <v>553.298</v>
          </cell>
          <cell r="CY39">
            <v>3172.3603999999996</v>
          </cell>
          <cell r="CZ39">
            <v>2007.8924</v>
          </cell>
          <cell r="DA39">
            <v>989.70899999999995</v>
          </cell>
          <cell r="DB39">
            <v>1018.1834</v>
          </cell>
          <cell r="DC39">
            <v>9.3046509916036744</v>
          </cell>
        </row>
        <row r="40">
          <cell r="A40">
            <v>2005</v>
          </cell>
          <cell r="B40">
            <v>643.28098</v>
          </cell>
          <cell r="C40">
            <v>70.611368086539997</v>
          </cell>
          <cell r="D40">
            <v>110.2</v>
          </cell>
          <cell r="E40">
            <v>4.9000000000000004</v>
          </cell>
          <cell r="F40">
            <v>1E-4</v>
          </cell>
          <cell r="G40">
            <v>5826.9</v>
          </cell>
          <cell r="H40">
            <v>2176.6</v>
          </cell>
          <cell r="I40">
            <v>5711</v>
          </cell>
          <cell r="J40">
            <v>344.9</v>
          </cell>
          <cell r="K40">
            <v>5762.4</v>
          </cell>
          <cell r="L40">
            <v>640.9</v>
          </cell>
          <cell r="M40">
            <v>7.5</v>
          </cell>
          <cell r="N40">
            <v>930.19989999999962</v>
          </cell>
          <cell r="O40">
            <v>0</v>
          </cell>
          <cell r="P40">
            <v>599.6328799999992</v>
          </cell>
          <cell r="Q40">
            <v>155.52195999999998</v>
          </cell>
          <cell r="R40">
            <v>1495.8</v>
          </cell>
          <cell r="S40">
            <v>4658.2001</v>
          </cell>
          <cell r="T40">
            <v>4780.8001000000004</v>
          </cell>
          <cell r="U40">
            <v>3.0000000000000142</v>
          </cell>
          <cell r="V40">
            <v>123.9</v>
          </cell>
          <cell r="W40">
            <v>923.28</v>
          </cell>
          <cell r="X40">
            <v>1271.395</v>
          </cell>
          <cell r="Y40">
            <v>485.40377358490571</v>
          </cell>
          <cell r="Z40">
            <v>162.38567049808427</v>
          </cell>
          <cell r="AA40">
            <v>28.264153439153436</v>
          </cell>
          <cell r="AB40">
            <v>555.92481730488157</v>
          </cell>
          <cell r="AC40">
            <v>470.54857142857139</v>
          </cell>
          <cell r="AD40">
            <v>424.67382710169068</v>
          </cell>
          <cell r="AE40">
            <v>1499.5837863222775</v>
          </cell>
          <cell r="AF40">
            <v>179.04791666666668</v>
          </cell>
          <cell r="AG40">
            <v>1689.5111230551629</v>
          </cell>
          <cell r="AH40">
            <v>895.01808510638296</v>
          </cell>
          <cell r="AI40">
            <v>1318.28436246099</v>
          </cell>
          <cell r="AJ40">
            <v>49.508373786407766</v>
          </cell>
          <cell r="AK40">
            <v>132.49973190348527</v>
          </cell>
          <cell r="AL40">
            <v>219.93678503659532</v>
          </cell>
          <cell r="AM40">
            <v>-346.01680216802168</v>
          </cell>
          <cell r="AN40">
            <v>816.34370626273358</v>
          </cell>
          <cell r="AO40">
            <v>78.963819691577712</v>
          </cell>
          <cell r="AP40">
            <v>269.86381043561511</v>
          </cell>
          <cell r="AQ40">
            <v>42.523985204033501</v>
          </cell>
          <cell r="BW40">
            <v>621.6</v>
          </cell>
          <cell r="BX40">
            <v>375.4</v>
          </cell>
          <cell r="BY40">
            <v>136.1</v>
          </cell>
          <cell r="BZ40">
            <v>1026.9000000000001</v>
          </cell>
          <cell r="CA40">
            <v>433.4</v>
          </cell>
          <cell r="CB40">
            <v>594.59999999999991</v>
          </cell>
          <cell r="CC40">
            <v>2047.4</v>
          </cell>
          <cell r="CD40">
            <v>386.1</v>
          </cell>
          <cell r="CE40">
            <v>2567.9</v>
          </cell>
          <cell r="CF40">
            <v>1032.4000000000001</v>
          </cell>
          <cell r="CG40">
            <v>2257.4</v>
          </cell>
          <cell r="CH40">
            <v>96.9</v>
          </cell>
          <cell r="CI40">
            <v>134.30000000000001</v>
          </cell>
          <cell r="CJ40">
            <v>426.8</v>
          </cell>
          <cell r="CK40">
            <v>-289</v>
          </cell>
          <cell r="CL40">
            <v>1208.3</v>
          </cell>
          <cell r="CM40">
            <v>104.5</v>
          </cell>
          <cell r="CN40">
            <v>228.7</v>
          </cell>
          <cell r="CO40">
            <v>191.8</v>
          </cell>
          <cell r="CP40">
            <v>539.5</v>
          </cell>
          <cell r="CQ40">
            <v>-79.8</v>
          </cell>
          <cell r="CR40">
            <v>1678.6317029889442</v>
          </cell>
          <cell r="CS40">
            <v>555.92481730488157</v>
          </cell>
          <cell r="CT40">
            <v>8972.2694971211986</v>
          </cell>
          <cell r="CU40">
            <v>4687.8347382521806</v>
          </cell>
          <cell r="CV40">
            <v>1177.221</v>
          </cell>
          <cell r="CW40">
            <v>617.02</v>
          </cell>
          <cell r="CX40">
            <v>560.20100000000002</v>
          </cell>
          <cell r="CY40">
            <v>3228.1860000000001</v>
          </cell>
          <cell r="CZ40">
            <v>2050.9650000000001</v>
          </cell>
          <cell r="DA40">
            <v>1011.7</v>
          </cell>
          <cell r="DB40">
            <v>1039.2650000000001</v>
          </cell>
          <cell r="DC40">
            <v>10.262676232650268</v>
          </cell>
        </row>
        <row r="41">
          <cell r="A41">
            <v>2006</v>
          </cell>
          <cell r="B41">
            <v>735.902737</v>
          </cell>
          <cell r="C41">
            <v>70.704773896455038</v>
          </cell>
          <cell r="D41">
            <v>116.5</v>
          </cell>
          <cell r="E41">
            <v>1.0000000000000001E-5</v>
          </cell>
          <cell r="F41">
            <v>1E-4</v>
          </cell>
          <cell r="G41">
            <v>5989.4</v>
          </cell>
          <cell r="H41">
            <v>2119.4</v>
          </cell>
          <cell r="I41">
            <v>5861.3</v>
          </cell>
          <cell r="J41">
            <v>505.20673999999997</v>
          </cell>
          <cell r="K41">
            <v>5910.3</v>
          </cell>
          <cell r="L41">
            <v>655</v>
          </cell>
          <cell r="M41">
            <v>3.7</v>
          </cell>
          <cell r="N41">
            <v>927.29315000000042</v>
          </cell>
          <cell r="O41">
            <v>0</v>
          </cell>
          <cell r="P41">
            <v>654.93128000000002</v>
          </cell>
          <cell r="Q41">
            <v>114.946</v>
          </cell>
          <cell r="R41">
            <v>1534.2</v>
          </cell>
          <cell r="S41">
            <v>4813.8068400000002</v>
          </cell>
          <cell r="T41">
            <v>4934.0068499999998</v>
          </cell>
          <cell r="U41">
            <v>2.7666666666666657</v>
          </cell>
          <cell r="V41">
            <v>127.3</v>
          </cell>
          <cell r="W41">
            <v>948.72</v>
          </cell>
          <cell r="X41">
            <v>1271.9000000000001</v>
          </cell>
          <cell r="Y41">
            <v>523.66758456569778</v>
          </cell>
          <cell r="Z41">
            <v>159.40095785440613</v>
          </cell>
          <cell r="AA41">
            <v>33.123677248677247</v>
          </cell>
          <cell r="AB41">
            <v>577.47103186202855</v>
          </cell>
          <cell r="AC41">
            <v>485.96571428571428</v>
          </cell>
          <cell r="AD41">
            <v>502.8092402953082</v>
          </cell>
          <cell r="AE41">
            <v>1665.5531552685645</v>
          </cell>
          <cell r="AF41">
            <v>200.8898148148148</v>
          </cell>
          <cell r="AG41">
            <v>1921.7621555869875</v>
          </cell>
          <cell r="AH41">
            <v>1029.1320891415992</v>
          </cell>
          <cell r="AI41">
            <v>1402.319588720464</v>
          </cell>
          <cell r="AJ41">
            <v>54.106674757281553</v>
          </cell>
          <cell r="AK41">
            <v>135.95281501340483</v>
          </cell>
          <cell r="AL41">
            <v>231.0676063973977</v>
          </cell>
          <cell r="AM41">
            <v>-448.14563685636858</v>
          </cell>
          <cell r="AN41">
            <v>832.22062184427318</v>
          </cell>
          <cell r="AO41">
            <v>84.102135231316737</v>
          </cell>
          <cell r="AP41">
            <v>336.65126854954525</v>
          </cell>
          <cell r="AQ41">
            <v>43.013516883281774</v>
          </cell>
          <cell r="BW41">
            <v>670.6</v>
          </cell>
          <cell r="BX41">
            <v>368.5</v>
          </cell>
          <cell r="BY41">
            <v>159.5</v>
          </cell>
          <cell r="BZ41">
            <v>1066.7</v>
          </cell>
          <cell r="CA41">
            <v>447.6</v>
          </cell>
          <cell r="CB41">
            <v>704</v>
          </cell>
          <cell r="CC41">
            <v>2274</v>
          </cell>
          <cell r="CD41">
            <v>433.2</v>
          </cell>
          <cell r="CE41">
            <v>2920.9</v>
          </cell>
          <cell r="CF41">
            <v>1187.0999999999999</v>
          </cell>
          <cell r="CG41">
            <v>2401.3000000000002</v>
          </cell>
          <cell r="CH41">
            <v>105.9</v>
          </cell>
          <cell r="CI41">
            <v>137.80000000000001</v>
          </cell>
          <cell r="CJ41">
            <v>448.4</v>
          </cell>
          <cell r="CK41">
            <v>-374.3</v>
          </cell>
          <cell r="CL41">
            <v>1231.8</v>
          </cell>
          <cell r="CM41">
            <v>111.3</v>
          </cell>
          <cell r="CN41">
            <v>285.3</v>
          </cell>
          <cell r="CO41">
            <v>254.5</v>
          </cell>
          <cell r="CP41">
            <v>562</v>
          </cell>
          <cell r="CQ41">
            <v>-157.5</v>
          </cell>
          <cell r="CR41">
            <v>1866.4429700833794</v>
          </cell>
          <cell r="CS41">
            <v>577.47103186202855</v>
          </cell>
          <cell r="CT41">
            <v>9771.0640114643938</v>
          </cell>
          <cell r="CU41">
            <v>5320.1464551072741</v>
          </cell>
          <cell r="CV41">
            <v>1190.0880000000002</v>
          </cell>
          <cell r="CW41">
            <v>622.83500000000004</v>
          </cell>
          <cell r="CX41">
            <v>567.25300000000004</v>
          </cell>
          <cell r="CY41">
            <v>3283.9590000000003</v>
          </cell>
          <cell r="CZ41">
            <v>2093.8710000000001</v>
          </cell>
          <cell r="DA41">
            <v>1033.634</v>
          </cell>
          <cell r="DB41">
            <v>1060.2370000000001</v>
          </cell>
          <cell r="DC41">
            <v>11.071948956158689</v>
          </cell>
        </row>
        <row r="42">
          <cell r="A42">
            <v>2007</v>
          </cell>
          <cell r="B42">
            <v>826.54734499999995</v>
          </cell>
          <cell r="C42">
            <v>70.8</v>
          </cell>
          <cell r="D42">
            <v>120</v>
          </cell>
          <cell r="E42">
            <v>1.0000000000000001E-5</v>
          </cell>
          <cell r="F42">
            <v>1.0000000000000001E-5</v>
          </cell>
          <cell r="G42">
            <v>6431.1</v>
          </cell>
          <cell r="H42">
            <v>2326.5</v>
          </cell>
          <cell r="I42">
            <v>6208.8</v>
          </cell>
          <cell r="J42">
            <v>522.4</v>
          </cell>
          <cell r="K42">
            <v>6325</v>
          </cell>
          <cell r="L42">
            <v>696.8</v>
          </cell>
          <cell r="M42">
            <v>3.7</v>
          </cell>
          <cell r="N42">
            <v>910.89998000000014</v>
          </cell>
          <cell r="O42">
            <v>0</v>
          </cell>
          <cell r="P42">
            <v>789.52445774080002</v>
          </cell>
          <cell r="Q42">
            <v>121.27554225919999</v>
          </cell>
          <cell r="R42">
            <v>1628.5</v>
          </cell>
          <cell r="S42">
            <v>5174.2000099999996</v>
          </cell>
          <cell r="T42">
            <v>5297.90002</v>
          </cell>
          <cell r="U42">
            <v>4.4249999999999687</v>
          </cell>
          <cell r="V42">
            <v>132.9</v>
          </cell>
          <cell r="W42">
            <v>1024.1600000000001</v>
          </cell>
          <cell r="X42">
            <v>1411</v>
          </cell>
          <cell r="Y42">
            <v>546.7820499745028</v>
          </cell>
          <cell r="Z42">
            <v>154.08038314176247</v>
          </cell>
          <cell r="AA42">
            <v>40.641402116402112</v>
          </cell>
          <cell r="AB42">
            <v>609.41140017538714</v>
          </cell>
          <cell r="AC42">
            <v>530.48</v>
          </cell>
          <cell r="AD42">
            <v>604.8709454632052</v>
          </cell>
          <cell r="AE42">
            <v>1805.5211447020838</v>
          </cell>
          <cell r="AF42">
            <v>229.03850308641972</v>
          </cell>
          <cell r="AG42">
            <v>2254.8746138613865</v>
          </cell>
          <cell r="AH42">
            <v>1227.8323459280996</v>
          </cell>
          <cell r="AI42">
            <v>1508.6629848417301</v>
          </cell>
          <cell r="AJ42">
            <v>57.325485436893203</v>
          </cell>
          <cell r="AK42">
            <v>144.04289544235925</v>
          </cell>
          <cell r="AL42">
            <v>257.55483870967743</v>
          </cell>
          <cell r="AM42">
            <v>-454.61100271002709</v>
          </cell>
          <cell r="AN42">
            <v>859.85321109044207</v>
          </cell>
          <cell r="AO42">
            <v>86.293475682087802</v>
          </cell>
          <cell r="AP42">
            <v>412.28865485878407</v>
          </cell>
          <cell r="AQ42">
            <v>51.159324025973071</v>
          </cell>
          <cell r="BW42">
            <v>700.2</v>
          </cell>
          <cell r="BX42">
            <v>356.2</v>
          </cell>
          <cell r="BY42">
            <v>195.7</v>
          </cell>
          <cell r="BZ42">
            <v>1125.7</v>
          </cell>
          <cell r="CA42">
            <v>488.6</v>
          </cell>
          <cell r="CB42">
            <v>846.9</v>
          </cell>
          <cell r="CC42">
            <v>2465.1</v>
          </cell>
          <cell r="CD42">
            <v>493.9</v>
          </cell>
          <cell r="CE42">
            <v>3427.2</v>
          </cell>
          <cell r="CF42">
            <v>1416.3</v>
          </cell>
          <cell r="CG42">
            <v>2583.4</v>
          </cell>
          <cell r="CH42">
            <v>112.2</v>
          </cell>
          <cell r="CI42">
            <v>146</v>
          </cell>
          <cell r="CJ42">
            <v>499.8</v>
          </cell>
          <cell r="CK42">
            <v>-379.7</v>
          </cell>
          <cell r="CL42">
            <v>1272.7</v>
          </cell>
          <cell r="CM42">
            <v>114.2</v>
          </cell>
          <cell r="CN42">
            <v>349.4</v>
          </cell>
          <cell r="CO42">
            <v>302.39999999999998</v>
          </cell>
          <cell r="CP42">
            <v>639.5</v>
          </cell>
          <cell r="CQ42">
            <v>-158.1</v>
          </cell>
          <cell r="CR42">
            <v>2034.5596477885035</v>
          </cell>
          <cell r="CS42">
            <v>609.41140017538714</v>
          </cell>
          <cell r="CT42">
            <v>10926.10265582717</v>
          </cell>
          <cell r="CU42">
            <v>6122.1375530411951</v>
          </cell>
          <cell r="CV42">
            <v>1203.1500000000001</v>
          </cell>
          <cell r="CW42">
            <v>628.73400000000004</v>
          </cell>
          <cell r="CX42">
            <v>574.41600000000005</v>
          </cell>
          <cell r="CY42">
            <v>3339.7809999999999</v>
          </cell>
          <cell r="CZ42">
            <v>2136.6309999999999</v>
          </cell>
          <cell r="DA42">
            <v>1055.4549999999999</v>
          </cell>
          <cell r="DB42">
            <v>1081.1759999999999</v>
          </cell>
          <cell r="DC42">
            <v>11.093556627173792</v>
          </cell>
        </row>
        <row r="43">
          <cell r="A43">
            <v>2008</v>
          </cell>
          <cell r="B43">
            <v>1058.1329519999999</v>
          </cell>
          <cell r="C43">
            <v>70.75909324624952</v>
          </cell>
          <cell r="D43">
            <v>124.75307058053014</v>
          </cell>
          <cell r="E43">
            <v>1.0000000000000001E-5</v>
          </cell>
          <cell r="F43">
            <v>1.0000000000000001E-5</v>
          </cell>
          <cell r="G43">
            <v>6601.1952626662087</v>
          </cell>
          <cell r="H43">
            <v>2447.4780000000001</v>
          </cell>
          <cell r="I43">
            <v>6398.3980827014384</v>
          </cell>
          <cell r="J43">
            <v>530.03471599716215</v>
          </cell>
          <cell r="K43">
            <v>6499.4551763063764</v>
          </cell>
          <cell r="L43">
            <v>722.12943020166722</v>
          </cell>
          <cell r="M43">
            <v>3.7</v>
          </cell>
          <cell r="N43">
            <v>894.41224795596497</v>
          </cell>
          <cell r="O43">
            <v>0</v>
          </cell>
          <cell r="P43">
            <v>742.3384750731459</v>
          </cell>
          <cell r="Q43">
            <v>152.07300000000001</v>
          </cell>
          <cell r="R43">
            <v>1655.3364178873585</v>
          </cell>
          <cell r="S43">
            <v>5354.978574086188</v>
          </cell>
          <cell r="T43">
            <v>5483.4316546667178</v>
          </cell>
          <cell r="U43">
            <v>9.875</v>
          </cell>
          <cell r="V43">
            <v>146</v>
          </cell>
          <cell r="W43">
            <v>1064.25</v>
          </cell>
          <cell r="X43">
            <v>1501</v>
          </cell>
          <cell r="Y43">
            <v>569.34988951215371</v>
          </cell>
          <cell r="Z43">
            <v>172.5509961685824</v>
          </cell>
          <cell r="AA43">
            <v>54.015476190476193</v>
          </cell>
          <cell r="AB43">
            <v>627.54703303127724</v>
          </cell>
          <cell r="AC43">
            <v>547.52571428571434</v>
          </cell>
          <cell r="AD43">
            <v>754.85665634674888</v>
          </cell>
          <cell r="AE43">
            <v>1917.5834282359847</v>
          </cell>
          <cell r="AF43">
            <v>254.63665123456786</v>
          </cell>
          <cell r="AG43">
            <v>2587.1317567185292</v>
          </cell>
          <cell r="AH43">
            <v>1275.1667002934701</v>
          </cell>
          <cell r="AI43">
            <v>1638.1905260811413</v>
          </cell>
          <cell r="AJ43">
            <v>59.318082524271837</v>
          </cell>
          <cell r="AK43">
            <v>152.03431635388742</v>
          </cell>
          <cell r="AL43">
            <v>281.46549200325296</v>
          </cell>
          <cell r="AM43">
            <v>-375.11094850948513</v>
          </cell>
          <cell r="AN43">
            <v>891.20167419612005</v>
          </cell>
          <cell r="AO43">
            <v>89.240450771055777</v>
          </cell>
          <cell r="AP43">
            <v>432.34849210148394</v>
          </cell>
          <cell r="AQ43">
            <v>53.646144956554316</v>
          </cell>
          <cell r="BW43">
            <v>729.1</v>
          </cell>
          <cell r="BX43">
            <v>398.9</v>
          </cell>
          <cell r="BY43">
            <v>260.10000000000002</v>
          </cell>
          <cell r="BZ43">
            <v>1159.2</v>
          </cell>
          <cell r="CA43">
            <v>504.3</v>
          </cell>
          <cell r="CB43">
            <v>1056.9000000000001</v>
          </cell>
          <cell r="CC43">
            <v>2618.1</v>
          </cell>
          <cell r="CD43">
            <v>549.1</v>
          </cell>
          <cell r="CE43">
            <v>3932.2</v>
          </cell>
          <cell r="CF43">
            <v>1470.9</v>
          </cell>
          <cell r="CG43">
            <v>2805.2</v>
          </cell>
          <cell r="CH43">
            <v>116.1</v>
          </cell>
          <cell r="CI43">
            <v>154.1</v>
          </cell>
          <cell r="CJ43">
            <v>546.20000000000005</v>
          </cell>
          <cell r="CK43">
            <v>-313.3</v>
          </cell>
          <cell r="CL43">
            <v>1319.1</v>
          </cell>
          <cell r="CM43">
            <v>118.1</v>
          </cell>
          <cell r="CN43">
            <v>366.4</v>
          </cell>
          <cell r="CO43">
            <v>317.10000000000002</v>
          </cell>
          <cell r="CP43">
            <v>670.6</v>
          </cell>
          <cell r="CQ43">
            <v>-165.8</v>
          </cell>
          <cell r="CR43">
            <v>2172.2200794705527</v>
          </cell>
          <cell r="CS43">
            <v>627.54703303127724</v>
          </cell>
          <cell r="CT43">
            <v>11982.698532495788</v>
          </cell>
          <cell r="CU43">
            <v>6789.3751928293004</v>
          </cell>
          <cell r="CV43">
            <v>1216.2280000000001</v>
          </cell>
          <cell r="CW43">
            <v>634.64499999999998</v>
          </cell>
          <cell r="CX43">
            <v>581.58299999999997</v>
          </cell>
          <cell r="CY43">
            <v>3395.346</v>
          </cell>
          <cell r="CZ43">
            <v>2179.1179999999999</v>
          </cell>
          <cell r="DA43">
            <v>1077.0899999999999</v>
          </cell>
          <cell r="DB43">
            <v>1102.028</v>
          </cell>
          <cell r="DC43">
            <v>12.490124205853464</v>
          </cell>
        </row>
        <row r="46">
          <cell r="A46">
            <v>2007</v>
          </cell>
          <cell r="B46">
            <v>826.54734499999995</v>
          </cell>
          <cell r="C46">
            <v>70.8</v>
          </cell>
          <cell r="D46">
            <v>120</v>
          </cell>
          <cell r="E46">
            <v>0</v>
          </cell>
          <cell r="F46">
            <v>0</v>
          </cell>
          <cell r="G46">
            <v>6431.1</v>
          </cell>
          <cell r="H46">
            <v>2326.5</v>
          </cell>
          <cell r="I46">
            <v>6208.8</v>
          </cell>
          <cell r="J46">
            <v>522.4</v>
          </cell>
          <cell r="K46">
            <v>6325</v>
          </cell>
          <cell r="L46">
            <v>696.8</v>
          </cell>
          <cell r="M46">
            <v>3.7</v>
          </cell>
          <cell r="N46">
            <v>910.90000000000055</v>
          </cell>
          <cell r="O46">
            <v>0</v>
          </cell>
          <cell r="P46">
            <v>789.52445774080002</v>
          </cell>
          <cell r="Q46">
            <v>121.27554225919999</v>
          </cell>
          <cell r="R46">
            <v>1628.5</v>
          </cell>
          <cell r="S46">
            <v>5174.2</v>
          </cell>
          <cell r="T46">
            <v>5297.9</v>
          </cell>
          <cell r="U46" t="str">
            <v>Colón</v>
          </cell>
          <cell r="V46" t="str">
            <v>Colón</v>
          </cell>
          <cell r="W46">
            <v>1024.1600000000001</v>
          </cell>
          <cell r="X46">
            <v>1296</v>
          </cell>
        </row>
        <row r="47">
          <cell r="A47" t="str">
            <v>2008 Est.</v>
          </cell>
          <cell r="B47">
            <v>1058.1329519999999</v>
          </cell>
          <cell r="C47">
            <v>70.75909324624952</v>
          </cell>
          <cell r="D47">
            <v>124.75307058053014</v>
          </cell>
          <cell r="E47">
            <v>0</v>
          </cell>
          <cell r="F47">
            <v>0</v>
          </cell>
          <cell r="G47">
            <v>6601.1952626662087</v>
          </cell>
          <cell r="H47">
            <v>2447.4780000000001</v>
          </cell>
          <cell r="I47">
            <v>6398.3980827014384</v>
          </cell>
          <cell r="J47">
            <v>530.03471599716215</v>
          </cell>
          <cell r="K47">
            <v>6499.4551763063764</v>
          </cell>
          <cell r="L47">
            <v>722.12943020166722</v>
          </cell>
          <cell r="M47">
            <v>3.7</v>
          </cell>
          <cell r="N47">
            <v>894.41224795596497</v>
          </cell>
          <cell r="O47">
            <v>0</v>
          </cell>
          <cell r="P47">
            <v>742.3384750731459</v>
          </cell>
          <cell r="Q47">
            <v>152.07300000000001</v>
          </cell>
          <cell r="R47">
            <v>1655.3364178873585</v>
          </cell>
          <cell r="S47">
            <v>5354.9785640861883</v>
          </cell>
          <cell r="T47">
            <v>5479.7316346667185</v>
          </cell>
          <cell r="W47">
            <v>1064.25</v>
          </cell>
          <cell r="X47">
            <v>1501</v>
          </cell>
        </row>
        <row r="48">
          <cell r="I48">
            <v>11</v>
          </cell>
          <cell r="N48">
            <v>927.29315000000042</v>
          </cell>
        </row>
        <row r="49">
          <cell r="A49" t="str">
            <v>SIGNIFICADO DE COLORES, a partir del año 2001</v>
          </cell>
        </row>
        <row r="50">
          <cell r="A50" t="str">
            <v>Fórmula</v>
          </cell>
          <cell r="B50" t="str">
            <v>Dato calculado por el Modelo, con base en datos de otras columnas.</v>
          </cell>
        </row>
        <row r="51">
          <cell r="A51" t="str">
            <v>Revisión Datos  COPE 2006(P); CND o ASEP</v>
          </cell>
          <cell r="B51" t="str">
            <v>Dato verificado con fuente: ASEP, COPE, CGR o CND</v>
          </cell>
        </row>
        <row r="52">
          <cell r="A52" t="str">
            <v>Est. 2008</v>
          </cell>
          <cell r="B52" t="str">
            <v>Dato original del modelo- Plan 2008-23</v>
          </cell>
        </row>
        <row r="53">
          <cell r="A53" t="str">
            <v>Datos no disponible</v>
          </cell>
        </row>
        <row r="54">
          <cell r="A54" t="str">
            <v>Datos o cálculos con Datos COPE o CND, CGR u otras fuentes</v>
          </cell>
          <cell r="B54" t="str">
            <v>Dato estimado</v>
          </cell>
        </row>
        <row r="57">
          <cell r="U57">
            <v>0.6916666666666913</v>
          </cell>
          <cell r="AQ57">
            <v>6198</v>
          </cell>
          <cell r="CO57">
            <v>373.20000000000005</v>
          </cell>
          <cell r="CP57">
            <v>0</v>
          </cell>
          <cell r="CQ57" t="e">
            <v>#DIV/0!</v>
          </cell>
          <cell r="CR57">
            <v>9322.0999999999967</v>
          </cell>
        </row>
        <row r="58">
          <cell r="U58">
            <v>1.4416666666666629</v>
          </cell>
          <cell r="AQ58">
            <v>6372.2000000000007</v>
          </cell>
          <cell r="AR58">
            <v>2.8105840593739995E-2</v>
          </cell>
          <cell r="BW58">
            <v>2.8105840593739995E-2</v>
          </cell>
          <cell r="CO58">
            <v>379.20000000000005</v>
          </cell>
          <cell r="CP58">
            <v>373.20000000000005</v>
          </cell>
          <cell r="CQ58">
            <v>1.6077170418006492E-2</v>
          </cell>
          <cell r="CR58">
            <v>9924.4</v>
          </cell>
          <cell r="CS58">
            <v>6.4609905493397735E-2</v>
          </cell>
        </row>
        <row r="59">
          <cell r="U59">
            <v>1.625</v>
          </cell>
          <cell r="AQ59">
            <v>6657.5000000000009</v>
          </cell>
          <cell r="AR59">
            <v>4.477260600734434E-2</v>
          </cell>
          <cell r="BW59">
            <v>4.477260600734434E-2</v>
          </cell>
          <cell r="CO59">
            <v>461.3</v>
          </cell>
          <cell r="CP59">
            <v>379.20000000000005</v>
          </cell>
          <cell r="CQ59">
            <v>0.21650843881856519</v>
          </cell>
          <cell r="CR59">
            <v>10653</v>
          </cell>
          <cell r="CS59">
            <v>7.341501753254609E-2</v>
          </cell>
        </row>
        <row r="60">
          <cell r="U60">
            <v>0.34166666666665435</v>
          </cell>
          <cell r="AQ60">
            <v>6947.1999999999989</v>
          </cell>
          <cell r="AR60">
            <v>4.3514832895230615E-2</v>
          </cell>
          <cell r="BW60">
            <v>4.3514832895230615E-2</v>
          </cell>
          <cell r="CO60">
            <v>501.99999999999994</v>
          </cell>
          <cell r="CP60">
            <v>461.3</v>
          </cell>
          <cell r="CQ60">
            <v>8.822891827444157E-2</v>
          </cell>
          <cell r="CR60">
            <v>11070.300000000001</v>
          </cell>
          <cell r="CS60">
            <v>3.9172064207265711E-2</v>
          </cell>
        </row>
        <row r="61">
          <cell r="U61">
            <v>1.1999999999999886</v>
          </cell>
          <cell r="AQ61">
            <v>7169.9000000000005</v>
          </cell>
          <cell r="AR61">
            <v>3.2056080147397692E-2</v>
          </cell>
          <cell r="BW61">
            <v>3.2056080147397692E-2</v>
          </cell>
          <cell r="CO61">
            <v>457.1</v>
          </cell>
          <cell r="CP61">
            <v>501.99999999999994</v>
          </cell>
          <cell r="CQ61">
            <v>-8.9442231075697043E-2</v>
          </cell>
          <cell r="CR61">
            <v>11370.9</v>
          </cell>
          <cell r="CS61">
            <v>2.7153735671119783E-2</v>
          </cell>
        </row>
        <row r="62">
          <cell r="H62">
            <v>0.12361559760036922</v>
          </cell>
          <cell r="U62">
            <v>1.591666666666697</v>
          </cell>
          <cell r="AQ62">
            <v>7345.6999999999989</v>
          </cell>
          <cell r="AR62">
            <v>2.4519170420786773E-2</v>
          </cell>
          <cell r="BW62">
            <v>2.4519170420786773E-2</v>
          </cell>
          <cell r="CO62">
            <v>476.79999999999995</v>
          </cell>
          <cell r="CP62">
            <v>457.1</v>
          </cell>
          <cell r="CQ62">
            <v>4.3097790417851556E-2</v>
          </cell>
          <cell r="CR62">
            <v>11436.199999999999</v>
          </cell>
          <cell r="CS62">
            <v>5.7427292474649949E-3</v>
          </cell>
        </row>
        <row r="63">
          <cell r="H63">
            <v>6.0218697058370463</v>
          </cell>
          <cell r="U63">
            <v>1.9999999999999858</v>
          </cell>
          <cell r="AQ63">
            <v>7365.2</v>
          </cell>
          <cell r="AR63">
            <v>2.6546142641274972E-3</v>
          </cell>
          <cell r="BW63">
            <v>2.6546142641274972E-3</v>
          </cell>
          <cell r="CO63">
            <v>545.70000000000005</v>
          </cell>
          <cell r="CP63">
            <v>476.79999999999995</v>
          </cell>
          <cell r="CQ63">
            <v>0.14450503355704725</v>
          </cell>
          <cell r="CR63">
            <v>11690.999999999998</v>
          </cell>
          <cell r="CS63">
            <v>2.2280128014550149E-2</v>
          </cell>
        </row>
        <row r="64">
          <cell r="H64">
            <v>5.3941506875847534</v>
          </cell>
          <cell r="U64">
            <v>3.0000000000000142</v>
          </cell>
          <cell r="AQ64">
            <v>7495.7672310175913</v>
          </cell>
          <cell r="AR64">
            <v>1.7727587983705995E-2</v>
          </cell>
          <cell r="BW64">
            <v>1.7727587983705995E-2</v>
          </cell>
          <cell r="CO64">
            <v>559.4</v>
          </cell>
          <cell r="CP64">
            <v>545.70000000000005</v>
          </cell>
          <cell r="CQ64">
            <v>2.5105369250503884E-2</v>
          </cell>
          <cell r="CR64">
            <v>12182.800000000001</v>
          </cell>
          <cell r="CS64">
            <v>4.2066546916431635E-2</v>
          </cell>
        </row>
        <row r="65">
          <cell r="H65">
            <v>-2.627951851511523</v>
          </cell>
          <cell r="U65">
            <v>2.7666666666666657</v>
          </cell>
          <cell r="AQ65">
            <v>7758.7231134875765</v>
          </cell>
          <cell r="AR65">
            <v>3.5080582729659859E-2</v>
          </cell>
          <cell r="BW65">
            <v>3.5080582729659859E-2</v>
          </cell>
          <cell r="CO65">
            <v>593</v>
          </cell>
          <cell r="CP65">
            <v>559.4</v>
          </cell>
          <cell r="CQ65">
            <v>6.006435466571336E-2</v>
          </cell>
          <cell r="CR65">
            <v>13099.2</v>
          </cell>
          <cell r="CS65">
            <v>7.5220803099451672E-2</v>
          </cell>
        </row>
        <row r="66">
          <cell r="H66">
            <v>9.7716334811739145</v>
          </cell>
          <cell r="U66">
            <v>4.4249999999999687</v>
          </cell>
          <cell r="AQ66">
            <v>8358.5660842682973</v>
          </cell>
          <cell r="AR66">
            <v>7.7312073392330261E-2</v>
          </cell>
          <cell r="BW66">
            <v>7.7312073392330261E-2</v>
          </cell>
          <cell r="CO66">
            <v>651.5</v>
          </cell>
          <cell r="CP66">
            <v>593</v>
          </cell>
          <cell r="CQ66">
            <v>9.865092748735238E-2</v>
          </cell>
          <cell r="CR66">
            <v>14041.199999999997</v>
          </cell>
          <cell r="CS66">
            <v>7.1912788567240371E-2</v>
          </cell>
        </row>
        <row r="67">
          <cell r="H67">
            <v>5.2000000000000046</v>
          </cell>
          <cell r="U67">
            <v>9.875</v>
          </cell>
          <cell r="AQ67">
            <v>8972.2694971211986</v>
          </cell>
          <cell r="AR67">
            <v>7.3422092577332787E-2</v>
          </cell>
          <cell r="BW67">
            <v>7.3422092577332787E-2</v>
          </cell>
          <cell r="CO67">
            <v>659</v>
          </cell>
          <cell r="CP67">
            <v>651.5</v>
          </cell>
          <cell r="CQ67">
            <v>1.1511895625479607E-2</v>
          </cell>
          <cell r="CR67">
            <v>15238.599999999999</v>
          </cell>
          <cell r="CS67">
            <v>8.5277611600148351E-2</v>
          </cell>
        </row>
        <row r="68">
          <cell r="AQ68">
            <v>9771.0640114643938</v>
          </cell>
          <cell r="AR68">
            <v>8.9029260055049964E-2</v>
          </cell>
          <cell r="BW68">
            <v>8.9029260055049964E-2</v>
          </cell>
          <cell r="CO68">
            <v>783.8</v>
          </cell>
          <cell r="CP68">
            <v>659</v>
          </cell>
          <cell r="CQ68">
            <v>0.18937784522003032</v>
          </cell>
          <cell r="CR68">
            <v>16997.600000000002</v>
          </cell>
          <cell r="CS68">
            <v>0.1154305513629863</v>
          </cell>
        </row>
        <row r="69">
          <cell r="AQ69">
            <v>10926.10265582717</v>
          </cell>
          <cell r="AR69">
            <v>0.11821011949236726</v>
          </cell>
          <cell r="BW69">
            <v>0.11821011949236726</v>
          </cell>
          <cell r="CO69">
            <v>821.90000000000009</v>
          </cell>
          <cell r="CP69">
            <v>783.8</v>
          </cell>
          <cell r="CQ69">
            <v>4.8609339117121841E-2</v>
          </cell>
          <cell r="CR69">
            <v>18612.599999999999</v>
          </cell>
          <cell r="CS69">
            <v>9.501341365839866E-2</v>
          </cell>
        </row>
        <row r="70">
          <cell r="AQ70">
            <v>11982.698532495788</v>
          </cell>
          <cell r="AR70">
            <v>9.6703821110916355E-2</v>
          </cell>
          <cell r="BW70">
            <v>9.6703821110916355E-2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Datos Seleccionados "/>
      <sheetName val="PIB vs EE (2)"/>
      <sheetName val="PIB vs Ventas kWh"/>
      <sheetName val="Ventas Sectoriales"/>
      <sheetName val="PIB Ind vs Consumo kWh"/>
      <sheetName val="Gráfico1"/>
      <sheetName val="PIB Ind vs Consumo kWh (2)"/>
      <sheetName val="Pronosticos Demanda "/>
      <sheetName val="Pronosticos Demanda R2"/>
      <sheetName val="Crecimiento R"/>
      <sheetName val="Pronóstico  Pob.-Cuadro CGR-Ka"/>
      <sheetName val="Población-Optimista"/>
      <sheetName val="Poblacion tot Proyecciones 2010"/>
      <sheetName val="Poblacion tot Proyecciones Rev "/>
      <sheetName val="Poblacion Datos --gráficas"/>
      <sheetName val="Poblacion Datos --gráficas 2010"/>
      <sheetName val="Gráfico2"/>
      <sheetName val="Gráfico7"/>
      <sheetName val="Pronosticos PIB 2013-2027 "/>
      <sheetName val="Pronosticos MANU 2013-27 1996"/>
      <sheetName val="8-PIB-Moderado Base-1982"/>
      <sheetName val="9-PIB-ALTO Base-1982"/>
      <sheetName val="10-PIB-BAJO Base-1982"/>
      <sheetName val="Precios EE-análisis históri (2)"/>
      <sheetName val="Hoja3"/>
      <sheetName val="15-FactorCarga-PronosLineal"/>
      <sheetName val="15-A FC 2011"/>
      <sheetName val="Estructura de Consumo"/>
      <sheetName val="Perdidas Totales"/>
      <sheetName val="DMG"/>
      <sheetName val="DMG MOD"/>
      <sheetName val="DMG (2)"/>
      <sheetName val="Economia USA 2006-2010"/>
      <sheetName val="Gráfico8"/>
      <sheetName val="Hoja1"/>
      <sheetName val="Consumo-Histórico Cope"/>
    </sheetNames>
    <sheetDataSet>
      <sheetData sheetId="0">
        <row r="5">
          <cell r="AB5">
            <v>305.02217877094967</v>
          </cell>
          <cell r="CX5">
            <v>2351.4156921131657</v>
          </cell>
        </row>
        <row r="6">
          <cell r="AB6">
            <v>324.43050279329606</v>
          </cell>
          <cell r="CX6">
            <v>2577.6500691901069</v>
          </cell>
        </row>
        <row r="7">
          <cell r="AB7">
            <v>339.28625698324015</v>
          </cell>
          <cell r="CX7">
            <v>2689.0848543566476</v>
          </cell>
        </row>
        <row r="8">
          <cell r="AB8">
            <v>360.61145251396641</v>
          </cell>
          <cell r="CX8">
            <v>2823.437834166356</v>
          </cell>
        </row>
        <row r="9">
          <cell r="AB9">
            <v>365.40363128491617</v>
          </cell>
          <cell r="CX9">
            <v>2903.6383679935257</v>
          </cell>
        </row>
        <row r="10">
          <cell r="AB10">
            <v>352.22513966480443</v>
          </cell>
          <cell r="CX10">
            <v>2910.1245026717997</v>
          </cell>
        </row>
        <row r="11">
          <cell r="AB11">
            <v>361.09067039106139</v>
          </cell>
          <cell r="CX11">
            <v>2949.1723957981726</v>
          </cell>
        </row>
        <row r="12">
          <cell r="AB12">
            <v>365.40363128491612</v>
          </cell>
          <cell r="CX12">
            <v>2985.6550172110965</v>
          </cell>
        </row>
        <row r="13">
          <cell r="AB13">
            <v>371.15424581005578</v>
          </cell>
          <cell r="CX13">
            <v>3300.2084216849612</v>
          </cell>
        </row>
        <row r="14">
          <cell r="AB14">
            <v>412.1273743016759</v>
          </cell>
          <cell r="CX14">
            <v>3453.0450719817218</v>
          </cell>
        </row>
        <row r="15">
          <cell r="AB15">
            <v>428.9</v>
          </cell>
          <cell r="CX15">
            <v>4141.5</v>
          </cell>
        </row>
        <row r="16">
          <cell r="AB16">
            <v>418</v>
          </cell>
          <cell r="CX16">
            <v>4522.8</v>
          </cell>
        </row>
        <row r="17">
          <cell r="AB17">
            <v>433</v>
          </cell>
          <cell r="CX17">
            <v>4764.7</v>
          </cell>
        </row>
        <row r="18">
          <cell r="AB18">
            <v>423.7</v>
          </cell>
          <cell r="CX18">
            <v>4550.7000000000007</v>
          </cell>
        </row>
        <row r="19">
          <cell r="AB19">
            <v>452.7</v>
          </cell>
          <cell r="CX19">
            <v>4674.0000000000009</v>
          </cell>
        </row>
        <row r="20">
          <cell r="AB20">
            <v>478.1</v>
          </cell>
          <cell r="CX20">
            <v>4905.0000000000009</v>
          </cell>
        </row>
        <row r="21">
          <cell r="AB21">
            <v>481.4</v>
          </cell>
          <cell r="CX21">
            <v>5080.0000000000009</v>
          </cell>
        </row>
        <row r="22">
          <cell r="AB22">
            <v>514.5</v>
          </cell>
          <cell r="CX22">
            <v>4988.1000000000004</v>
          </cell>
        </row>
        <row r="23">
          <cell r="AB23">
            <v>398.9</v>
          </cell>
          <cell r="CX23">
            <v>4320.7</v>
          </cell>
        </row>
        <row r="24">
          <cell r="AB24">
            <v>404.1</v>
          </cell>
          <cell r="CX24">
            <v>4388.2000000000007</v>
          </cell>
        </row>
        <row r="25">
          <cell r="AB25">
            <v>459.8</v>
          </cell>
          <cell r="CX25">
            <v>4743.6000000000013</v>
          </cell>
        </row>
        <row r="26">
          <cell r="AB26">
            <v>507.9</v>
          </cell>
          <cell r="CX26">
            <v>5190.4000000000005</v>
          </cell>
        </row>
        <row r="27">
          <cell r="AB27">
            <v>554.4</v>
          </cell>
          <cell r="CX27">
            <v>5616.1</v>
          </cell>
        </row>
        <row r="28">
          <cell r="AB28">
            <v>589.5</v>
          </cell>
          <cell r="CX28">
            <v>5922.5</v>
          </cell>
        </row>
        <row r="29">
          <cell r="AB29">
            <v>614.6</v>
          </cell>
          <cell r="CX29">
            <v>6091.3</v>
          </cell>
        </row>
        <row r="30">
          <cell r="AB30">
            <v>615.79999999999995</v>
          </cell>
          <cell r="CX30">
            <v>6198</v>
          </cell>
        </row>
        <row r="31">
          <cell r="AB31">
            <v>608.1</v>
          </cell>
          <cell r="CX31">
            <v>6372.2000000000007</v>
          </cell>
        </row>
        <row r="32">
          <cell r="AB32">
            <v>627.8988604503935</v>
          </cell>
          <cell r="CX32">
            <v>6807.2766047027162</v>
          </cell>
        </row>
        <row r="33">
          <cell r="AB33">
            <v>672.1</v>
          </cell>
          <cell r="CX33">
            <v>6947.1999999999989</v>
          </cell>
        </row>
        <row r="34">
          <cell r="AB34">
            <v>622</v>
          </cell>
          <cell r="CX34">
            <v>7169.9000000000005</v>
          </cell>
        </row>
        <row r="35">
          <cell r="AB35">
            <v>589.20000000000005</v>
          </cell>
          <cell r="CX35">
            <v>7345.6999999999989</v>
          </cell>
        </row>
        <row r="36">
          <cell r="AB36">
            <v>555.6</v>
          </cell>
          <cell r="CX36">
            <v>7372.61010719755</v>
          </cell>
        </row>
        <row r="37">
          <cell r="AB37">
            <v>541.03735749780765</v>
          </cell>
          <cell r="CX37">
            <v>7682.2686741081388</v>
          </cell>
        </row>
        <row r="38">
          <cell r="AB38">
            <v>522.63104355451617</v>
          </cell>
          <cell r="CX38">
            <v>7881.9392110616636</v>
          </cell>
        </row>
        <row r="39">
          <cell r="AB39">
            <v>533.51242326805016</v>
          </cell>
          <cell r="CX39">
            <v>8373.9903204816346</v>
          </cell>
        </row>
        <row r="40">
          <cell r="AB40">
            <v>555.92481730488157</v>
          </cell>
          <cell r="CX40">
            <v>9081.422412048847</v>
          </cell>
        </row>
        <row r="41">
          <cell r="AB41">
            <v>577.47103186202855</v>
          </cell>
          <cell r="CX41">
            <v>9788.3682028639505</v>
          </cell>
        </row>
        <row r="42">
          <cell r="AB42">
            <v>609.95276235018991</v>
          </cell>
          <cell r="CX42">
            <v>11002.804099426618</v>
          </cell>
        </row>
        <row r="43">
          <cell r="AB43">
            <v>633.88172838351363</v>
          </cell>
          <cell r="CX43">
            <v>12132.014935933918</v>
          </cell>
        </row>
        <row r="44">
          <cell r="AB44">
            <v>630.09143525285003</v>
          </cell>
          <cell r="CX44">
            <v>12529.358670555303</v>
          </cell>
        </row>
        <row r="45">
          <cell r="AB45">
            <v>637.02087109032436</v>
          </cell>
          <cell r="CX45">
            <v>13523.004739279306</v>
          </cell>
        </row>
        <row r="46">
          <cell r="AB46">
            <v>657.59263373282647</v>
          </cell>
          <cell r="CX46">
            <v>15092.879271304215</v>
          </cell>
        </row>
        <row r="47">
          <cell r="AB47">
            <v>679.74957772108917</v>
          </cell>
          <cell r="CX47">
            <v>16502.240181051773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2">
          <cell r="M22">
            <v>7.698257371085182E-2</v>
          </cell>
          <cell r="O22">
            <v>0.10754216714063025</v>
          </cell>
          <cell r="Q22">
            <v>3.7925257105446697E-2</v>
          </cell>
        </row>
        <row r="23">
          <cell r="M23">
            <v>5.9900000000000002E-2</v>
          </cell>
          <cell r="O23">
            <v>7.4999999999999997E-2</v>
          </cell>
          <cell r="Q23">
            <v>0.04</v>
          </cell>
        </row>
        <row r="24">
          <cell r="M24">
            <v>5.8624999999999997E-2</v>
          </cell>
          <cell r="O24">
            <v>7.4999999999999997E-2</v>
          </cell>
          <cell r="Q24">
            <v>0.04</v>
          </cell>
        </row>
        <row r="25">
          <cell r="M25">
            <v>6.0999999999999999E-2</v>
          </cell>
          <cell r="O25">
            <v>7.4999999999999997E-2</v>
          </cell>
          <cell r="Q25">
            <v>0.04</v>
          </cell>
        </row>
        <row r="26">
          <cell r="M26">
            <v>0.05</v>
          </cell>
          <cell r="O26">
            <v>6.5000000000000002E-2</v>
          </cell>
          <cell r="Q26">
            <v>3.7499999999999999E-2</v>
          </cell>
        </row>
        <row r="27">
          <cell r="M27">
            <v>0.05</v>
          </cell>
          <cell r="O27">
            <v>6.5000000000000002E-2</v>
          </cell>
          <cell r="Q27">
            <v>3.7499999999999999E-2</v>
          </cell>
        </row>
        <row r="28">
          <cell r="M28">
            <v>0.05</v>
          </cell>
          <cell r="O28">
            <v>6.5000000000000002E-2</v>
          </cell>
          <cell r="Q28">
            <v>3.7499999999999999E-2</v>
          </cell>
        </row>
        <row r="29">
          <cell r="M29">
            <v>0.05</v>
          </cell>
          <cell r="O29">
            <v>6.5000000000000002E-2</v>
          </cell>
          <cell r="Q29">
            <v>3.7499999999999999E-2</v>
          </cell>
        </row>
        <row r="30">
          <cell r="M30">
            <v>0.05</v>
          </cell>
          <cell r="O30">
            <v>6.5000000000000002E-2</v>
          </cell>
          <cell r="Q30">
            <v>3.7499999999999999E-2</v>
          </cell>
        </row>
        <row r="31">
          <cell r="M31">
            <v>0.05</v>
          </cell>
          <cell r="O31">
            <v>0.06</v>
          </cell>
          <cell r="Q31">
            <v>3.5000000000000003E-2</v>
          </cell>
        </row>
        <row r="32">
          <cell r="M32">
            <v>0.05</v>
          </cell>
          <cell r="O32">
            <v>0.06</v>
          </cell>
          <cell r="Q32">
            <v>3.5000000000000003E-2</v>
          </cell>
        </row>
        <row r="33">
          <cell r="M33">
            <v>0.05</v>
          </cell>
          <cell r="O33">
            <v>0.06</v>
          </cell>
          <cell r="Q33">
            <v>3.5000000000000003E-2</v>
          </cell>
        </row>
        <row r="34">
          <cell r="M34">
            <v>0.05</v>
          </cell>
          <cell r="O34">
            <v>0.06</v>
          </cell>
          <cell r="Q34">
            <v>3.5000000000000003E-2</v>
          </cell>
        </row>
        <row r="35">
          <cell r="M35">
            <v>0.05</v>
          </cell>
          <cell r="O35">
            <v>0.06</v>
          </cell>
          <cell r="Q35">
            <v>3.5000000000000003E-2</v>
          </cell>
        </row>
        <row r="36">
          <cell r="M36">
            <v>0.05</v>
          </cell>
          <cell r="O36">
            <v>0.06</v>
          </cell>
          <cell r="Q36">
            <v>3.5000000000000003E-2</v>
          </cell>
        </row>
      </sheetData>
      <sheetData sheetId="20">
        <row r="24">
          <cell r="F24">
            <v>1.6996528014536549E-2</v>
          </cell>
          <cell r="H24">
            <v>3.2293702727967943E-2</v>
          </cell>
          <cell r="J24">
            <v>-5.9783072849944885E-3</v>
          </cell>
        </row>
        <row r="25">
          <cell r="F25">
            <v>3.9285714285714146E-2</v>
          </cell>
          <cell r="H25">
            <v>4.7600913937547507E-2</v>
          </cell>
          <cell r="J25">
            <v>3.7875668999588274E-2</v>
          </cell>
        </row>
        <row r="26">
          <cell r="F26">
            <v>7.9037800687285387E-2</v>
          </cell>
          <cell r="H26">
            <v>9.4874591057797053E-2</v>
          </cell>
          <cell r="J26">
            <v>6.7433558111860581E-2</v>
          </cell>
        </row>
        <row r="27">
          <cell r="F27">
            <v>3.2554847841472112E-2</v>
          </cell>
          <cell r="H27">
            <v>4.8140770252323994E-2</v>
          </cell>
          <cell r="J27">
            <v>2.2668153102935573E-2</v>
          </cell>
        </row>
        <row r="28">
          <cell r="F28">
            <v>3.7011651816312607E-2</v>
          </cell>
          <cell r="H28">
            <v>4.5929680076021606E-2</v>
          </cell>
          <cell r="J28">
            <v>3.1613372093023173E-2</v>
          </cell>
        </row>
        <row r="29">
          <cell r="F29">
            <v>4.1639127561136746E-2</v>
          </cell>
          <cell r="H29">
            <v>5.0575408843125391E-2</v>
          </cell>
          <cell r="J29">
            <v>3.5575907009510521E-2</v>
          </cell>
        </row>
        <row r="30">
          <cell r="F30">
            <v>3.8388324873096513E-2</v>
          </cell>
          <cell r="H30">
            <v>4.8140674545978701E-2</v>
          </cell>
          <cell r="J30">
            <v>3.2653061224489965E-2</v>
          </cell>
        </row>
        <row r="31">
          <cell r="F31">
            <v>4.1857622975863151E-2</v>
          </cell>
          <cell r="H31">
            <v>4.9779977997799651E-2</v>
          </cell>
          <cell r="J31">
            <v>3.6231884057970953E-2</v>
          </cell>
        </row>
        <row r="32">
          <cell r="F32">
            <v>3.6950146627566127E-2</v>
          </cell>
          <cell r="H32">
            <v>4.5847524233691317E-2</v>
          </cell>
          <cell r="J32">
            <v>3.115066751430362E-2</v>
          </cell>
        </row>
        <row r="33">
          <cell r="F33">
            <v>3.4219457013574539E-2</v>
          </cell>
          <cell r="H33">
            <v>4.8597194388777742E-2</v>
          </cell>
          <cell r="J33">
            <v>2.9284833538840926E-2</v>
          </cell>
        </row>
        <row r="34">
          <cell r="F34">
            <v>3.0352748154224729E-2</v>
          </cell>
          <cell r="H34">
            <v>4.7061634018155774E-2</v>
          </cell>
          <cell r="J34">
            <v>2.5456723569931228E-2</v>
          </cell>
        </row>
        <row r="35">
          <cell r="F35">
            <v>5.2016985138004124E-2</v>
          </cell>
          <cell r="H35">
            <v>5.544147843942504E-2</v>
          </cell>
          <cell r="J35">
            <v>4.497663551401887E-2</v>
          </cell>
        </row>
        <row r="36">
          <cell r="F36">
            <v>3.4308779011099855E-2</v>
          </cell>
          <cell r="H36">
            <v>4.3450064850842907E-2</v>
          </cell>
          <cell r="J36">
            <v>2.766908887646724E-2</v>
          </cell>
        </row>
        <row r="37">
          <cell r="F37">
            <v>3.7542500357029773E-2</v>
          </cell>
          <cell r="H37">
            <v>4.8071780695198463E-2</v>
          </cell>
          <cell r="J37">
            <v>3.1684681858538788E-2</v>
          </cell>
        </row>
        <row r="38">
          <cell r="F38">
            <v>3.7542500357029773E-2</v>
          </cell>
          <cell r="H38">
            <v>4.8071780695198463E-2</v>
          </cell>
          <cell r="J38">
            <v>3.1684681858538788E-2</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on. 2008"/>
      <sheetName val="Pron. 2011"/>
    </sheetNames>
    <sheetDataSet>
      <sheetData sheetId="0">
        <row r="6">
          <cell r="B6">
            <v>70.082181943055687</v>
          </cell>
          <cell r="C6">
            <v>75.139818932968026</v>
          </cell>
          <cell r="D6">
            <v>78.268804218322771</v>
          </cell>
          <cell r="E6">
            <v>83.055099149838568</v>
          </cell>
          <cell r="F6">
            <v>87.807562875349703</v>
          </cell>
          <cell r="G6">
            <v>91.961966673655382</v>
          </cell>
          <cell r="H6">
            <v>96.706164073721283</v>
          </cell>
          <cell r="I6">
            <v>101.5122696097183</v>
          </cell>
          <cell r="J6">
            <v>106.91069096739945</v>
          </cell>
          <cell r="K6">
            <v>112.29416557388248</v>
          </cell>
          <cell r="L6">
            <v>117.9370330249955</v>
          </cell>
          <cell r="M6">
            <v>123.84545050041628</v>
          </cell>
          <cell r="N6">
            <v>130.01313441492408</v>
          </cell>
          <cell r="O6">
            <v>136.32688909757812</v>
          </cell>
          <cell r="P6">
            <v>142.89893796716547</v>
          </cell>
        </row>
        <row r="7">
          <cell r="B7">
            <v>44.524893229387345</v>
          </cell>
          <cell r="C7">
            <v>47.738131469484131</v>
          </cell>
          <cell r="D7">
            <v>49.726050964626921</v>
          </cell>
          <cell r="E7">
            <v>52.766899078677618</v>
          </cell>
          <cell r="F7">
            <v>55.786253415088758</v>
          </cell>
          <cell r="G7">
            <v>58.425645917188945</v>
          </cell>
          <cell r="H7">
            <v>61.439748458526878</v>
          </cell>
          <cell r="I7">
            <v>64.493182725361066</v>
          </cell>
          <cell r="J7">
            <v>67.922929458322415</v>
          </cell>
          <cell r="K7">
            <v>71.343180161297653</v>
          </cell>
          <cell r="L7">
            <v>74.928229367849767</v>
          </cell>
          <cell r="M7">
            <v>78.681988882094217</v>
          </cell>
          <cell r="N7">
            <v>82.600466591438447</v>
          </cell>
          <cell r="O7">
            <v>86.611746567711648</v>
          </cell>
          <cell r="P7">
            <v>90.787127043942505</v>
          </cell>
        </row>
        <row r="8">
          <cell r="B8">
            <v>50.758378281501571</v>
          </cell>
          <cell r="C8">
            <v>54.421469875211898</v>
          </cell>
          <cell r="D8">
            <v>56.687698099674677</v>
          </cell>
          <cell r="E8">
            <v>60.154264949692468</v>
          </cell>
          <cell r="F8">
            <v>63.596328893201168</v>
          </cell>
          <cell r="G8">
            <v>66.605236345595372</v>
          </cell>
          <cell r="H8">
            <v>70.041313242720619</v>
          </cell>
          <cell r="I8">
            <v>73.5222283069116</v>
          </cell>
          <cell r="J8">
            <v>77.432139582487537</v>
          </cell>
          <cell r="K8">
            <v>81.331225383879314</v>
          </cell>
          <cell r="L8">
            <v>85.418181479348718</v>
          </cell>
          <cell r="M8">
            <v>89.697467325587397</v>
          </cell>
          <cell r="N8">
            <v>94.164531914239802</v>
          </cell>
          <cell r="O8">
            <v>98.73739108719127</v>
          </cell>
          <cell r="P8">
            <v>103.49732483009444</v>
          </cell>
        </row>
        <row r="9">
          <cell r="B9">
            <v>43.189146432505723</v>
          </cell>
          <cell r="C9">
            <v>46.305987525399601</v>
          </cell>
          <cell r="D9">
            <v>48.234269435688113</v>
          </cell>
          <cell r="E9">
            <v>51.18389210631728</v>
          </cell>
          <cell r="F9">
            <v>54.112665812636088</v>
          </cell>
          <cell r="G9">
            <v>56.672876539673261</v>
          </cell>
          <cell r="H9">
            <v>59.596556004771053</v>
          </cell>
          <cell r="I9">
            <v>62.55838724360023</v>
          </cell>
          <cell r="J9">
            <v>65.885241574572731</v>
          </cell>
          <cell r="K9">
            <v>69.202884756458715</v>
          </cell>
          <cell r="L9">
            <v>72.680382486814253</v>
          </cell>
          <cell r="M9">
            <v>76.321529215631372</v>
          </cell>
          <cell r="N9">
            <v>80.122452593695272</v>
          </cell>
          <cell r="O9">
            <v>84.013394170680286</v>
          </cell>
          <cell r="P9">
            <v>88.063513232624217</v>
          </cell>
        </row>
        <row r="10">
          <cell r="B10">
            <v>42.832947286670617</v>
          </cell>
          <cell r="C10">
            <v>45.924082473643722</v>
          </cell>
          <cell r="D10">
            <v>47.836461027971083</v>
          </cell>
          <cell r="E10">
            <v>50.761756913687847</v>
          </cell>
          <cell r="F10">
            <v>53.666375785315367</v>
          </cell>
          <cell r="G10">
            <v>56.205471372335744</v>
          </cell>
          <cell r="H10">
            <v>59.105038017102835</v>
          </cell>
          <cell r="I10">
            <v>62.042441781797329</v>
          </cell>
          <cell r="J10">
            <v>65.341858138906147</v>
          </cell>
          <cell r="K10">
            <v>68.632139315168331</v>
          </cell>
          <cell r="L10">
            <v>72.08095665187146</v>
          </cell>
          <cell r="M10">
            <v>75.692073304574635</v>
          </cell>
          <cell r="N10">
            <v>79.461648860963777</v>
          </cell>
          <cell r="O10">
            <v>83.320500198138603</v>
          </cell>
          <cell r="P10">
            <v>87.33721621627268</v>
          </cell>
        </row>
        <row r="11">
          <cell r="B11">
            <v>75.948336626027469</v>
          </cell>
          <cell r="C11">
            <v>81.429317754072557</v>
          </cell>
          <cell r="D11">
            <v>84.820211432912373</v>
          </cell>
          <cell r="E11">
            <v>90.007138103454352</v>
          </cell>
          <cell r="F11">
            <v>95.157401762787657</v>
          </cell>
          <cell r="G11">
            <v>99.659545523245043</v>
          </cell>
          <cell r="H11">
            <v>104.80085093313222</v>
          </cell>
          <cell r="I11">
            <v>110.00924643378465</v>
          </cell>
          <cell r="J11">
            <v>115.85953692353348</v>
          </cell>
          <cell r="K11">
            <v>121.6936295601335</v>
          </cell>
          <cell r="L11">
            <v>127.80882724420978</v>
          </cell>
          <cell r="M11">
            <v>134.21180253563227</v>
          </cell>
          <cell r="N11">
            <v>140.89574588834617</v>
          </cell>
          <cell r="O11">
            <v>147.7379867078742</v>
          </cell>
          <cell r="P11">
            <v>154.86014195520499</v>
          </cell>
        </row>
        <row r="12">
          <cell r="B12">
            <v>46.250232842026108</v>
          </cell>
          <cell r="C12">
            <v>49.587984063926648</v>
          </cell>
          <cell r="D12">
            <v>51.652935439506216</v>
          </cell>
          <cell r="E12">
            <v>54.811616417976374</v>
          </cell>
          <cell r="F12">
            <v>57.947970734923452</v>
          </cell>
          <cell r="G12">
            <v>60.689639696480015</v>
          </cell>
          <cell r="H12">
            <v>63.82053871129478</v>
          </cell>
          <cell r="I12">
            <v>66.9922935559688</v>
          </cell>
          <cell r="J12">
            <v>70.5549429748324</v>
          </cell>
          <cell r="K12">
            <v>74.107728392547941</v>
          </cell>
          <cell r="L12">
            <v>77.831698255853951</v>
          </cell>
          <cell r="M12">
            <v>81.730915951275378</v>
          </cell>
          <cell r="N12">
            <v>85.80123467185669</v>
          </cell>
          <cell r="O12">
            <v>89.967951747210492</v>
          </cell>
          <cell r="P12">
            <v>94.305128216895298</v>
          </cell>
        </row>
        <row r="13">
          <cell r="B13">
            <v>12.734119463604783</v>
          </cell>
          <cell r="C13">
            <v>13.653105600272463</v>
          </cell>
          <cell r="D13">
            <v>14.221650575883301</v>
          </cell>
          <cell r="E13">
            <v>15.091333136501799</v>
          </cell>
          <cell r="F13">
            <v>15.954868476715385</v>
          </cell>
          <cell r="G13">
            <v>16.709734732316036</v>
          </cell>
          <cell r="H13">
            <v>17.571768059138684</v>
          </cell>
          <cell r="I13">
            <v>18.445050259453264</v>
          </cell>
          <cell r="J13">
            <v>19.425957825080207</v>
          </cell>
          <cell r="K13">
            <v>20.404149526131128</v>
          </cell>
          <cell r="L13">
            <v>21.429473599205032</v>
          </cell>
          <cell r="M13">
            <v>22.503048820278948</v>
          </cell>
          <cell r="N13">
            <v>23.623733445151398</v>
          </cell>
          <cell r="O13">
            <v>24.770959518365537</v>
          </cell>
          <cell r="P13">
            <v>25.96511833456756</v>
          </cell>
        </row>
        <row r="14">
          <cell r="B14">
            <v>32.536565727374807</v>
          </cell>
          <cell r="C14">
            <v>34.884639571325529</v>
          </cell>
          <cell r="D14">
            <v>36.33731174240112</v>
          </cell>
          <cell r="E14">
            <v>38.559411501743668</v>
          </cell>
          <cell r="F14">
            <v>40.765804683076105</v>
          </cell>
          <cell r="G14">
            <v>42.694540753985812</v>
          </cell>
          <cell r="H14">
            <v>44.897096186068502</v>
          </cell>
          <cell r="I14">
            <v>47.128393276557588</v>
          </cell>
          <cell r="J14">
            <v>49.63468070166909</v>
          </cell>
          <cell r="K14">
            <v>52.134028902868252</v>
          </cell>
          <cell r="L14">
            <v>54.753803610556211</v>
          </cell>
          <cell r="M14">
            <v>57.496863375590351</v>
          </cell>
          <cell r="N14">
            <v>60.360290961693643</v>
          </cell>
          <cell r="O14">
            <v>63.291533804355289</v>
          </cell>
          <cell r="P14">
            <v>66.342693087360985</v>
          </cell>
        </row>
        <row r="15">
          <cell r="B15">
            <v>418.85680183215413</v>
          </cell>
          <cell r="C15">
            <v>449.08453726630461</v>
          </cell>
          <cell r="D15">
            <v>467.78539293698663</v>
          </cell>
          <cell r="E15">
            <v>496.39141135789004</v>
          </cell>
          <cell r="F15">
            <v>524.79523243909375</v>
          </cell>
          <cell r="G15">
            <v>549.62465755447568</v>
          </cell>
          <cell r="H15">
            <v>577.97907368647691</v>
          </cell>
          <cell r="I15">
            <v>606.70349319315289</v>
          </cell>
          <cell r="J15">
            <v>638.96797814680349</v>
          </cell>
          <cell r="K15">
            <v>671.14313157236734</v>
          </cell>
          <cell r="L15">
            <v>704.86858572070469</v>
          </cell>
          <cell r="M15">
            <v>740.18113991108089</v>
          </cell>
          <cell r="N15">
            <v>777.04323934230933</v>
          </cell>
          <cell r="O15">
            <v>814.77835289910547</v>
          </cell>
          <cell r="P15">
            <v>854.05720088412818</v>
          </cell>
        </row>
        <row r="18">
          <cell r="B18">
            <v>86.82354179730531</v>
          </cell>
          <cell r="C18">
            <v>93.089356365494027</v>
          </cell>
          <cell r="D18">
            <v>96.965799381022478</v>
          </cell>
          <cell r="E18">
            <v>102.89545320342133</v>
          </cell>
          <cell r="F18">
            <v>108.78319415942303</v>
          </cell>
          <cell r="G18">
            <v>113.93000953851839</v>
          </cell>
          <cell r="H18">
            <v>119.80750949412736</v>
          </cell>
          <cell r="I18">
            <v>125.76170631445403</v>
          </cell>
          <cell r="J18">
            <v>132.44971244372863</v>
          </cell>
          <cell r="K18">
            <v>139.11920131453033</v>
          </cell>
          <cell r="L18">
            <v>146.11004726730692</v>
          </cell>
          <cell r="M18">
            <v>153.42987832008362</v>
          </cell>
          <cell r="N18">
            <v>161.07090985330487</v>
          </cell>
          <cell r="O18">
            <v>168.89290580703764</v>
          </cell>
          <cell r="P18">
            <v>177.03489773568776</v>
          </cell>
        </row>
        <row r="19">
          <cell r="B19">
            <v>99.067887435386837</v>
          </cell>
          <cell r="C19">
            <v>106.21734251960217</v>
          </cell>
          <cell r="D19">
            <v>110.6404633962949</v>
          </cell>
          <cell r="E19">
            <v>117.4063504500577</v>
          </cell>
          <cell r="F19">
            <v>124.12441384857247</v>
          </cell>
          <cell r="G19">
            <v>129.99706216574538</v>
          </cell>
          <cell r="H19">
            <v>136.70344032022226</v>
          </cell>
          <cell r="I19">
            <v>143.49733156392833</v>
          </cell>
          <cell r="J19">
            <v>151.1285180447673</v>
          </cell>
          <cell r="K19">
            <v>158.7385758588872</v>
          </cell>
          <cell r="L19">
            <v>166.71531034346563</v>
          </cell>
          <cell r="M19">
            <v>175.06742526265955</v>
          </cell>
          <cell r="N19">
            <v>183.78603816595046</v>
          </cell>
          <cell r="O19">
            <v>192.71113611315835</v>
          </cell>
          <cell r="P19">
            <v>202.00135767277197</v>
          </cell>
        </row>
        <row r="20">
          <cell r="B20">
            <v>89.049786458774676</v>
          </cell>
          <cell r="C20">
            <v>95.476262938968233</v>
          </cell>
          <cell r="D20">
            <v>99.452101929253828</v>
          </cell>
          <cell r="E20">
            <v>105.53379815735522</v>
          </cell>
          <cell r="F20">
            <v>111.57250683017747</v>
          </cell>
          <cell r="G20">
            <v>116.85129183437785</v>
          </cell>
          <cell r="H20">
            <v>122.87949691705371</v>
          </cell>
          <cell r="I20">
            <v>128.9863654507221</v>
          </cell>
          <cell r="J20">
            <v>135.84585891664477</v>
          </cell>
          <cell r="K20">
            <v>142.68636032259525</v>
          </cell>
          <cell r="L20">
            <v>149.85645873569945</v>
          </cell>
          <cell r="M20">
            <v>157.36397776418838</v>
          </cell>
          <cell r="N20">
            <v>165.20093318287681</v>
          </cell>
          <cell r="O20">
            <v>173.22349313542324</v>
          </cell>
          <cell r="P20">
            <v>181.57425408788495</v>
          </cell>
        </row>
        <row r="21">
          <cell r="B21">
            <v>71.239829167019749</v>
          </cell>
          <cell r="C21">
            <v>76.381010351174609</v>
          </cell>
          <cell r="D21">
            <v>79.561681543403083</v>
          </cell>
          <cell r="E21">
            <v>84.4270385258842</v>
          </cell>
          <cell r="F21">
            <v>89.258005464142016</v>
          </cell>
          <cell r="G21">
            <v>93.481033467502314</v>
          </cell>
          <cell r="H21">
            <v>98.303597533643</v>
          </cell>
          <cell r="I21">
            <v>103.18909236057772</v>
          </cell>
          <cell r="J21">
            <v>108.67668713331584</v>
          </cell>
          <cell r="K21">
            <v>114.1490882580762</v>
          </cell>
          <cell r="L21">
            <v>119.88516698855958</v>
          </cell>
          <cell r="M21">
            <v>125.89118221135072</v>
          </cell>
          <cell r="N21">
            <v>132.16074654630148</v>
          </cell>
          <cell r="O21">
            <v>138.5787945083386</v>
          </cell>
          <cell r="P21">
            <v>145.25940327030796</v>
          </cell>
        </row>
        <row r="22">
          <cell r="B22">
            <v>103.29775229217863</v>
          </cell>
          <cell r="C22">
            <v>103.75246500920316</v>
          </cell>
          <cell r="D22">
            <v>108.07294303195023</v>
          </cell>
          <cell r="E22">
            <v>114.68182104706528</v>
          </cell>
          <cell r="F22">
            <v>121.24398520171242</v>
          </cell>
          <cell r="G22">
            <v>126.98035296036156</v>
          </cell>
          <cell r="H22">
            <v>133.53110303850852</v>
          </cell>
          <cell r="I22">
            <v>140.16733537889928</v>
          </cell>
          <cell r="J22">
            <v>147.62143270002016</v>
          </cell>
          <cell r="K22">
            <v>155.05489166583615</v>
          </cell>
          <cell r="L22">
            <v>162.846518210684</v>
          </cell>
          <cell r="M22">
            <v>171.00481411934496</v>
          </cell>
          <cell r="N22">
            <v>179.52110306726829</v>
          </cell>
          <cell r="O22">
            <v>188.23908537133983</v>
          </cell>
          <cell r="P22">
            <v>197.31371823662428</v>
          </cell>
        </row>
        <row r="23">
          <cell r="B23">
            <v>0.22262446614693673</v>
          </cell>
          <cell r="C23">
            <v>0.23869065734742062</v>
          </cell>
          <cell r="D23">
            <v>0.24863025482313461</v>
          </cell>
          <cell r="E23">
            <v>0.2638344953933881</v>
          </cell>
          <cell r="F23">
            <v>0.27893126707544375</v>
          </cell>
          <cell r="G23">
            <v>0.29212822958594464</v>
          </cell>
          <cell r="H23">
            <v>0.30719874229263427</v>
          </cell>
          <cell r="I23">
            <v>0.32246591362680521</v>
          </cell>
          <cell r="J23">
            <v>0.33961464729161189</v>
          </cell>
          <cell r="K23">
            <v>0.35671590080648802</v>
          </cell>
          <cell r="L23">
            <v>0.37464114683924848</v>
          </cell>
          <cell r="M23">
            <v>0.39340994441047078</v>
          </cell>
          <cell r="N23">
            <v>0.41300233295719191</v>
          </cell>
          <cell r="O23">
            <v>0.43305873283855795</v>
          </cell>
          <cell r="P23">
            <v>0.4539356352197122</v>
          </cell>
        </row>
        <row r="24">
          <cell r="B24">
            <v>0</v>
          </cell>
          <cell r="C24">
            <v>20</v>
          </cell>
          <cell r="D24">
            <v>20.832843445669234</v>
          </cell>
          <cell r="E24">
            <v>22.106813758476513</v>
          </cell>
          <cell r="F24">
            <v>23.371779203695581</v>
          </cell>
          <cell r="G24">
            <v>24.477558764333548</v>
          </cell>
          <cell r="H24">
            <v>25.740323957925025</v>
          </cell>
          <cell r="I24">
            <v>27.01956726839521</v>
          </cell>
          <cell r="J24">
            <v>28.456467552250572</v>
          </cell>
          <cell r="K24">
            <v>29.889389452497785</v>
          </cell>
          <cell r="L24">
            <v>31.391354064935033</v>
          </cell>
          <cell r="M24">
            <v>32.964000248895537</v>
          </cell>
          <cell r="N24">
            <v>34.605655499624838</v>
          </cell>
          <cell r="O24">
            <v>36.286190473574273</v>
          </cell>
          <cell r="P24">
            <v>38.035475729491708</v>
          </cell>
        </row>
        <row r="25">
          <cell r="B25">
            <v>70.794580234725885</v>
          </cell>
          <cell r="C25">
            <v>62.903629036479771</v>
          </cell>
          <cell r="D25">
            <v>65.523072794071822</v>
          </cell>
          <cell r="E25">
            <v>69.529940592087684</v>
          </cell>
          <cell r="F25">
            <v>73.508486447588979</v>
          </cell>
          <cell r="G25">
            <v>76.986363811513598</v>
          </cell>
          <cell r="H25">
            <v>80.957989476406439</v>
          </cell>
          <cell r="I25">
            <v>84.981441808867174</v>
          </cell>
          <cell r="J25">
            <v>89.500753929769687</v>
          </cell>
          <cell r="K25">
            <v>94.007553312339596</v>
          </cell>
          <cell r="L25">
            <v>98.731504552673243</v>
          </cell>
          <cell r="M25">
            <v>103.6777621607476</v>
          </cell>
          <cell r="N25">
            <v>108.84106580563086</v>
          </cell>
          <cell r="O25">
            <v>114.12665323483813</v>
          </cell>
          <cell r="P25">
            <v>119.62847277569884</v>
          </cell>
        </row>
        <row r="26">
          <cell r="B26">
            <v>16.329504591877807</v>
          </cell>
          <cell r="C26">
            <v>17.507959716433302</v>
          </cell>
          <cell r="D26">
            <v>18.237029191276925</v>
          </cell>
          <cell r="E26">
            <v>19.352260237105018</v>
          </cell>
          <cell r="F26">
            <v>20.4596084399838</v>
          </cell>
          <cell r="G26">
            <v>21.427605640129041</v>
          </cell>
          <cell r="H26">
            <v>22.533027747164727</v>
          </cell>
          <cell r="I26">
            <v>23.652874764526167</v>
          </cell>
          <cell r="J26">
            <v>24.910734378839738</v>
          </cell>
          <cell r="K26">
            <v>26.165111324155902</v>
          </cell>
          <cell r="L26">
            <v>27.479928120658887</v>
          </cell>
          <cell r="M26">
            <v>28.856619422508043</v>
          </cell>
          <cell r="N26">
            <v>30.293721122410037</v>
          </cell>
          <cell r="O26">
            <v>31.764858053708235</v>
          </cell>
          <cell r="P26">
            <v>33.296178843365901</v>
          </cell>
        </row>
        <row r="27">
          <cell r="B27">
            <v>14.704345989005171</v>
          </cell>
          <cell r="C27">
            <v>15.765517917797132</v>
          </cell>
          <cell r="D27">
            <v>16.422028331068038</v>
          </cell>
          <cell r="E27">
            <v>17.42626842073328</v>
          </cell>
          <cell r="F27">
            <v>18.423410190333055</v>
          </cell>
          <cell r="G27">
            <v>19.295069564151639</v>
          </cell>
          <cell r="H27">
            <v>20.29047692842849</v>
          </cell>
          <cell r="I27">
            <v>21.298873595050484</v>
          </cell>
          <cell r="J27">
            <v>22.431547453610964</v>
          </cell>
          <cell r="K27">
            <v>23.561085248268533</v>
          </cell>
          <cell r="L27">
            <v>24.745047748732365</v>
          </cell>
          <cell r="M27">
            <v>25.984726828311597</v>
          </cell>
          <cell r="N27">
            <v>27.278804091822529</v>
          </cell>
          <cell r="O27">
            <v>28.603529303986754</v>
          </cell>
          <cell r="P27">
            <v>29.982448706261991</v>
          </cell>
        </row>
        <row r="28">
          <cell r="B28">
            <v>1.6140273795652911</v>
          </cell>
          <cell r="C28">
            <v>1.7305072657687994</v>
          </cell>
          <cell r="D28">
            <v>1.8025693474677258</v>
          </cell>
          <cell r="E28">
            <v>1.9128000916020635</v>
          </cell>
          <cell r="F28">
            <v>2.0222516862969671</v>
          </cell>
          <cell r="G28">
            <v>2.1179296644980985</v>
          </cell>
          <cell r="H28">
            <v>2.2271908816215982</v>
          </cell>
          <cell r="I28">
            <v>2.3378778737943375</v>
          </cell>
          <cell r="J28">
            <v>2.4622061928641856</v>
          </cell>
          <cell r="K28">
            <v>2.5861902808470374</v>
          </cell>
          <cell r="L28">
            <v>2.7161483145845513</v>
          </cell>
          <cell r="M28">
            <v>2.8522220969759129</v>
          </cell>
          <cell r="N28">
            <v>2.994266913939641</v>
          </cell>
          <cell r="O28">
            <v>3.1396758130795446</v>
          </cell>
          <cell r="P28">
            <v>3.2910333553429125</v>
          </cell>
        </row>
        <row r="29">
          <cell r="B29">
            <v>2.4488691276163044</v>
          </cell>
          <cell r="C29">
            <v>2.6255972308216275</v>
          </cell>
          <cell r="D29">
            <v>2.7349328030544813</v>
          </cell>
          <cell r="E29">
            <v>2.9021794493272695</v>
          </cell>
          <cell r="F29">
            <v>3.068243937829882</v>
          </cell>
          <cell r="G29">
            <v>3.2134105254453922</v>
          </cell>
          <cell r="H29">
            <v>3.3791861652189779</v>
          </cell>
          <cell r="I29">
            <v>3.5471250498948583</v>
          </cell>
          <cell r="J29">
            <v>3.7357611202077314</v>
          </cell>
          <cell r="K29">
            <v>3.9238749088713689</v>
          </cell>
          <cell r="L29">
            <v>4.1210526152317346</v>
          </cell>
          <cell r="M29">
            <v>4.3275093885151801</v>
          </cell>
          <cell r="N29">
            <v>4.5430256625291126</v>
          </cell>
          <cell r="O29">
            <v>4.7636460612241391</v>
          </cell>
          <cell r="P29">
            <v>4.9932919874168364</v>
          </cell>
        </row>
        <row r="30">
          <cell r="B30">
            <v>2.4488691276163044</v>
          </cell>
          <cell r="C30">
            <v>2.6255972308216275</v>
          </cell>
          <cell r="D30">
            <v>2.7349328030544813</v>
          </cell>
          <cell r="E30">
            <v>2.9021794493272695</v>
          </cell>
          <cell r="F30">
            <v>3.068243937829882</v>
          </cell>
          <cell r="G30">
            <v>3.2134105254453922</v>
          </cell>
          <cell r="H30">
            <v>3.3791861652189779</v>
          </cell>
          <cell r="I30">
            <v>3.5471250498948583</v>
          </cell>
          <cell r="J30">
            <v>3.7357611202077314</v>
          </cell>
          <cell r="K30">
            <v>3.9238749088713689</v>
          </cell>
          <cell r="L30">
            <v>4.1210526152317346</v>
          </cell>
          <cell r="M30">
            <v>4.3275093885151801</v>
          </cell>
          <cell r="N30">
            <v>4.5430256625291126</v>
          </cell>
          <cell r="O30">
            <v>4.7636460612241391</v>
          </cell>
          <cell r="P30">
            <v>4.9932919874168364</v>
          </cell>
        </row>
        <row r="31">
          <cell r="B31">
            <v>558.04161806721891</v>
          </cell>
          <cell r="C31">
            <v>598.31393623991187</v>
          </cell>
          <cell r="D31">
            <v>623.22902825241033</v>
          </cell>
          <cell r="E31">
            <v>661.3407378778362</v>
          </cell>
          <cell r="F31">
            <v>699.18306061466103</v>
          </cell>
          <cell r="G31">
            <v>732.26322669160811</v>
          </cell>
          <cell r="H31">
            <v>770.03972736783169</v>
          </cell>
          <cell r="I31">
            <v>808.30918239263133</v>
          </cell>
          <cell r="J31">
            <v>851.29505563351893</v>
          </cell>
          <cell r="K31">
            <v>894.16191275658321</v>
          </cell>
          <cell r="L31">
            <v>939.09423072460231</v>
          </cell>
          <cell r="M31">
            <v>986.14103715650674</v>
          </cell>
          <cell r="N31">
            <v>1035.2522979071452</v>
          </cell>
          <cell r="O31">
            <v>1085.5266726697714</v>
          </cell>
          <cell r="P31">
            <v>1137.8577600234917</v>
          </cell>
        </row>
        <row r="34">
          <cell r="B34">
            <v>61.733764462545551</v>
          </cell>
          <cell r="C34">
            <v>66.188919282439741</v>
          </cell>
          <cell r="D34">
            <v>68.945169662455228</v>
          </cell>
          <cell r="E34">
            <v>73.161305572586528</v>
          </cell>
          <cell r="F34">
            <v>77.347640360020577</v>
          </cell>
          <cell r="G34">
            <v>81.007158064182477</v>
          </cell>
          <cell r="H34">
            <v>85.186211237747514</v>
          </cell>
          <cell r="I34">
            <v>89.419797848713117</v>
          </cell>
          <cell r="J34">
            <v>94.175141693964008</v>
          </cell>
          <cell r="K34">
            <v>98.917319293639167</v>
          </cell>
          <cell r="L34">
            <v>103.88799001852367</v>
          </cell>
          <cell r="M34">
            <v>109.09257758502362</v>
          </cell>
          <cell r="N34">
            <v>114.52554692902937</v>
          </cell>
          <cell r="O34">
            <v>120.08718661613217</v>
          </cell>
          <cell r="P34">
            <v>125.87635164642627</v>
          </cell>
        </row>
        <row r="35">
          <cell r="B35">
            <v>12.244345638081521</v>
          </cell>
          <cell r="C35">
            <v>13.127986154108136</v>
          </cell>
          <cell r="D35">
            <v>13.674664015272404</v>
          </cell>
          <cell r="E35">
            <v>14.510897246636347</v>
          </cell>
          <cell r="F35">
            <v>15.341219689149412</v>
          </cell>
          <cell r="G35">
            <v>16.06705262722696</v>
          </cell>
          <cell r="H35">
            <v>16.89593082609489</v>
          </cell>
          <cell r="I35">
            <v>17.735625249474293</v>
          </cell>
          <cell r="J35">
            <v>18.678805601038658</v>
          </cell>
          <cell r="K35">
            <v>19.619374544356848</v>
          </cell>
          <cell r="L35">
            <v>20.605263076158678</v>
          </cell>
          <cell r="M35">
            <v>21.637546942575906</v>
          </cell>
          <cell r="N35">
            <v>22.715128312645561</v>
          </cell>
          <cell r="O35">
            <v>23.818230306120689</v>
          </cell>
          <cell r="P35">
            <v>24.966459937084174</v>
          </cell>
        </row>
        <row r="36">
          <cell r="B36">
            <v>73.978110100627077</v>
          </cell>
          <cell r="C36">
            <v>79.316905436547884</v>
          </cell>
          <cell r="D36">
            <v>82.619833677727641</v>
          </cell>
          <cell r="E36">
            <v>87.672202819222875</v>
          </cell>
          <cell r="F36">
            <v>92.688860049169989</v>
          </cell>
          <cell r="G36">
            <v>97.074210691409434</v>
          </cell>
          <cell r="H36">
            <v>102.0821420638424</v>
          </cell>
          <cell r="I36">
            <v>107.15542309818741</v>
          </cell>
          <cell r="J36">
            <v>112.85394729500267</v>
          </cell>
          <cell r="K36">
            <v>118.53669383799603</v>
          </cell>
          <cell r="L36">
            <v>124.49325309468234</v>
          </cell>
          <cell r="M36">
            <v>130.73012452759951</v>
          </cell>
          <cell r="N36">
            <v>137.24067524167492</v>
          </cell>
          <cell r="O36">
            <v>143.90541692225284</v>
          </cell>
          <cell r="P36">
            <v>150.84281158351041</v>
          </cell>
        </row>
        <row r="38">
          <cell r="B38">
            <v>1050.87653</v>
          </cell>
          <cell r="C38">
            <v>1126.7153789427643</v>
          </cell>
          <cell r="D38">
            <v>1173.6342548671246</v>
          </cell>
          <cell r="E38">
            <v>1245.4043520549492</v>
          </cell>
          <cell r="F38">
            <v>1316.6671531029249</v>
          </cell>
          <cell r="G38">
            <v>1378.9620949374932</v>
          </cell>
          <cell r="H38">
            <v>1450.100943118151</v>
          </cell>
          <cell r="I38">
            <v>1522.1680986839717</v>
          </cell>
          <cell r="J38">
            <v>1603.1169810753252</v>
          </cell>
          <cell r="K38">
            <v>1683.8417381669467</v>
          </cell>
          <cell r="L38">
            <v>1768.4560695399896</v>
          </cell>
          <cell r="M38">
            <v>1857.0523015951874</v>
          </cell>
          <cell r="N38">
            <v>1949.5362124911296</v>
          </cell>
          <cell r="O38">
            <v>2044.2104424911297</v>
          </cell>
          <cell r="P38">
            <v>2142.7577724911303</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8.bin"/><Relationship Id="rId4" Type="http://schemas.openxmlformats.org/officeDocument/2006/relationships/comments" Target="../comments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topLeftCell="A5" workbookViewId="0">
      <selection activeCell="B12" sqref="B12"/>
    </sheetView>
  </sheetViews>
  <sheetFormatPr baseColWidth="10" defaultRowHeight="12.75"/>
  <cols>
    <col min="1" max="1" width="11.42578125" style="165"/>
    <col min="2" max="2" width="74.7109375" customWidth="1"/>
    <col min="3" max="3" width="11.42578125" hidden="1" customWidth="1"/>
  </cols>
  <sheetData>
    <row r="1" spans="1:14" ht="20.25">
      <c r="A1" s="1180" t="s">
        <v>518</v>
      </c>
      <c r="B1" s="1180"/>
    </row>
    <row r="2" spans="1:14" ht="18">
      <c r="A2" s="1181" t="s">
        <v>147</v>
      </c>
      <c r="B2" s="1181"/>
    </row>
    <row r="3" spans="1:14" ht="34.5" customHeight="1">
      <c r="A3" s="1181" t="s">
        <v>362</v>
      </c>
      <c r="B3" s="1181"/>
    </row>
    <row r="4" spans="1:14" ht="18" customHeight="1">
      <c r="A4" s="1182" t="s">
        <v>146</v>
      </c>
      <c r="B4" s="1182"/>
    </row>
    <row r="5" spans="1:14" ht="23.25" customHeight="1">
      <c r="A5" s="164"/>
      <c r="B5" s="164"/>
    </row>
    <row r="6" spans="1:14" ht="15.75">
      <c r="A6" s="164" t="s">
        <v>145</v>
      </c>
      <c r="B6" s="176" t="s">
        <v>144</v>
      </c>
    </row>
    <row r="7" spans="1:14" ht="27.75" customHeight="1">
      <c r="A7" s="444">
        <v>1</v>
      </c>
      <c r="B7" s="87" t="str">
        <f>'1-Proyec Pob Tot. 2010'!A2</f>
        <v xml:space="preserve">PROYECCIONES DE POBLACION TOTAL CENSO 2010 </v>
      </c>
    </row>
    <row r="8" spans="1:14" ht="35.25" customHeight="1">
      <c r="A8" s="444">
        <v>2</v>
      </c>
      <c r="B8" s="87" t="str">
        <f>'2- Tasas de Poblacion'!B3:D3</f>
        <v>TASAS DE CRECIMIENTO DE POBLACION 1970-2025</v>
      </c>
    </row>
    <row r="9" spans="1:14" ht="35.25" customHeight="1">
      <c r="A9" s="444">
        <v>3</v>
      </c>
      <c r="B9" s="87" t="str">
        <f>'3-Inflación'!B2:D2</f>
        <v>INFLACIÓN, 1970-2012</v>
      </c>
    </row>
    <row r="10" spans="1:14" ht="35.25" customHeight="1">
      <c r="A10" s="444">
        <v>4</v>
      </c>
      <c r="B10" s="87" t="str">
        <f>'4-PIB 2012, tres metodologías'!A5</f>
        <v>PRONÓSTICO DEL PIB 2012, TENDENCIAL HISTÓRICO- (Millones de B/. 1996)</v>
      </c>
    </row>
    <row r="11" spans="1:14" ht="35.25" customHeight="1">
      <c r="A11" s="444">
        <v>5</v>
      </c>
      <c r="B11" s="87" t="str">
        <f>'5-PIB Estruc. Est. II Trim 2012'!C2</f>
        <v xml:space="preserve">PIB ESTIMADO AL 2012 </v>
      </c>
    </row>
    <row r="12" spans="1:14" ht="35.25" customHeight="1">
      <c r="A12" s="444">
        <v>6</v>
      </c>
      <c r="B12" s="87" t="str">
        <f>'6-PIB Estructural 2013 Est. 2T'!C2</f>
        <v xml:space="preserve">PIB ESTIMADO DEL AÑO  2013 </v>
      </c>
    </row>
    <row r="13" spans="1:14" ht="35.25" customHeight="1">
      <c r="A13" s="444">
        <v>7</v>
      </c>
      <c r="B13" s="390" t="s">
        <v>668</v>
      </c>
      <c r="C13" s="177"/>
      <c r="D13" s="177"/>
      <c r="E13" s="177"/>
      <c r="F13" s="177"/>
      <c r="G13" s="177"/>
      <c r="H13" s="177"/>
      <c r="I13" s="177"/>
      <c r="J13" s="177"/>
      <c r="K13" s="177"/>
      <c r="L13" s="177"/>
      <c r="M13" s="177"/>
      <c r="N13" s="177"/>
    </row>
    <row r="14" spans="1:14" ht="35.25" customHeight="1">
      <c r="A14" s="444">
        <v>8</v>
      </c>
      <c r="B14" s="390" t="str">
        <f>'8-Empalme de Bases 96-82 13-27'!C3</f>
        <v>EMPALME DE BASES 1982    =&gt;  1996</v>
      </c>
      <c r="C14" s="163"/>
      <c r="D14" s="163"/>
      <c r="E14" s="163"/>
      <c r="F14" s="163"/>
      <c r="G14" s="163"/>
      <c r="H14" s="163"/>
      <c r="I14" s="163"/>
      <c r="J14" s="163"/>
      <c r="K14" s="163"/>
      <c r="L14" s="163"/>
      <c r="M14" s="163"/>
    </row>
    <row r="15" spans="1:14" ht="35.25" customHeight="1">
      <c r="A15" s="444">
        <v>9</v>
      </c>
      <c r="B15" s="87" t="str">
        <f>'9-Est. PIB MANUFACTURA ACP1996'!A2</f>
        <v xml:space="preserve">PIB MANUFACTURA   2013 - 2027 </v>
      </c>
      <c r="C15" s="163"/>
      <c r="D15" s="163"/>
      <c r="E15" s="163"/>
      <c r="F15" s="163"/>
      <c r="G15" s="163"/>
      <c r="H15" s="163"/>
      <c r="I15" s="163"/>
      <c r="J15" s="163"/>
      <c r="K15" s="163"/>
      <c r="L15" s="163"/>
      <c r="M15" s="163"/>
    </row>
    <row r="16" spans="1:14" ht="35.25" customHeight="1">
      <c r="A16" s="444">
        <v>10</v>
      </c>
      <c r="B16" s="87" t="str">
        <f>'10-Est. PIB MANUFACTURA EMPALM'!A2</f>
        <v>ESTIMADOS DEL PIB MANUFACTURA  EN MILLONES DE BALBOAS DE 1982</v>
      </c>
    </row>
    <row r="17" spans="1:5" ht="35.25" customHeight="1">
      <c r="A17" s="444">
        <v>11</v>
      </c>
      <c r="B17" s="87" t="s">
        <v>263</v>
      </c>
    </row>
    <row r="18" spans="1:5" ht="35.25" customHeight="1">
      <c r="A18" s="444">
        <v>12</v>
      </c>
      <c r="B18" s="16" t="s">
        <v>264</v>
      </c>
    </row>
    <row r="19" spans="1:5" ht="35.25" customHeight="1">
      <c r="A19" s="444">
        <v>13</v>
      </c>
      <c r="B19" s="3" t="s">
        <v>265</v>
      </c>
    </row>
    <row r="20" spans="1:5" ht="35.25" customHeight="1">
      <c r="A20" s="444">
        <v>14</v>
      </c>
      <c r="B20" s="87" t="s">
        <v>215</v>
      </c>
    </row>
    <row r="21" spans="1:5" ht="35.25" customHeight="1">
      <c r="A21" s="444">
        <v>15</v>
      </c>
      <c r="B21" s="87" t="s">
        <v>115</v>
      </c>
    </row>
    <row r="22" spans="1:5" ht="35.25" customHeight="1">
      <c r="A22" s="444">
        <v>16</v>
      </c>
      <c r="B22" s="87" t="s">
        <v>63</v>
      </c>
    </row>
    <row r="23" spans="1:5" ht="35.25" customHeight="1">
      <c r="A23" s="444">
        <v>17</v>
      </c>
      <c r="B23" s="390" t="s">
        <v>356</v>
      </c>
    </row>
    <row r="24" spans="1:5" ht="35.25" customHeight="1">
      <c r="A24" s="864">
        <v>18</v>
      </c>
      <c r="B24" s="87" t="s">
        <v>9</v>
      </c>
    </row>
    <row r="25" spans="1:5" ht="35.25" customHeight="1">
      <c r="A25" s="864">
        <v>19</v>
      </c>
      <c r="B25" s="390" t="s">
        <v>357</v>
      </c>
    </row>
    <row r="26" spans="1:5" ht="35.25" customHeight="1">
      <c r="A26" s="444">
        <v>20</v>
      </c>
      <c r="B26" s="87" t="s">
        <v>231</v>
      </c>
    </row>
    <row r="27" spans="1:5" ht="35.25" customHeight="1">
      <c r="A27" s="444">
        <v>21</v>
      </c>
      <c r="B27" s="87" t="s">
        <v>240</v>
      </c>
    </row>
    <row r="28" spans="1:5" ht="35.25" customHeight="1">
      <c r="A28" s="444">
        <v>22</v>
      </c>
      <c r="B28" s="390" t="s">
        <v>358</v>
      </c>
      <c r="E28" s="156" t="s">
        <v>242</v>
      </c>
    </row>
    <row r="29" spans="1:5" ht="35.25" customHeight="1">
      <c r="A29" s="444">
        <v>23</v>
      </c>
      <c r="B29" s="390" t="s">
        <v>359</v>
      </c>
    </row>
    <row r="30" spans="1:5" ht="35.25" customHeight="1">
      <c r="A30" s="444">
        <v>24</v>
      </c>
      <c r="B30" s="390" t="s">
        <v>360</v>
      </c>
    </row>
    <row r="31" spans="1:5" ht="40.5" customHeight="1">
      <c r="A31" s="444">
        <v>25</v>
      </c>
      <c r="B31" s="390" t="s">
        <v>361</v>
      </c>
    </row>
    <row r="32" spans="1:5" ht="40.5" customHeight="1">
      <c r="A32" s="864">
        <v>26</v>
      </c>
      <c r="B32" s="87" t="s">
        <v>266</v>
      </c>
    </row>
  </sheetData>
  <mergeCells count="4">
    <mergeCell ref="A1:B1"/>
    <mergeCell ref="A2:B2"/>
    <mergeCell ref="A3:B3"/>
    <mergeCell ref="A4:B4"/>
  </mergeCells>
  <printOptions horizontalCentered="1" verticalCentered="1"/>
  <pageMargins left="0.74803149606299213" right="0.74803149606299213" top="0.70866141732283472" bottom="1.0236220472440944" header="0" footer="0.51181102362204722"/>
  <pageSetup scale="77" orientation="portrait" r:id="rId1"/>
  <headerFooter alignWithMargins="0"/>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J65"/>
  <sheetViews>
    <sheetView topLeftCell="G22" workbookViewId="0">
      <selection activeCell="M33" sqref="M33"/>
    </sheetView>
  </sheetViews>
  <sheetFormatPr baseColWidth="10" defaultRowHeight="12.75"/>
  <cols>
    <col min="1" max="1" width="6.28515625" style="238" customWidth="1"/>
    <col min="2" max="2" width="11.7109375" style="238" customWidth="1"/>
    <col min="3" max="3" width="9.85546875" style="238" customWidth="1"/>
    <col min="4" max="4" width="12.42578125" style="238" customWidth="1"/>
    <col min="5" max="5" width="13.28515625" style="238" customWidth="1"/>
    <col min="6" max="6" width="12.42578125" style="238" customWidth="1"/>
    <col min="7" max="7" width="11.85546875" style="238" customWidth="1"/>
    <col min="8" max="10" width="11.42578125" style="238"/>
    <col min="11" max="11" width="6.7109375" style="238" customWidth="1"/>
    <col min="12" max="256" width="11.42578125" style="238"/>
    <col min="257" max="257" width="6.28515625" style="238" customWidth="1"/>
    <col min="258" max="258" width="11.7109375" style="238" customWidth="1"/>
    <col min="259" max="259" width="9.85546875" style="238" customWidth="1"/>
    <col min="260" max="260" width="12.42578125" style="238" customWidth="1"/>
    <col min="261" max="261" width="13.28515625" style="238" customWidth="1"/>
    <col min="262" max="262" width="12.42578125" style="238" customWidth="1"/>
    <col min="263" max="263" width="11.85546875" style="238" customWidth="1"/>
    <col min="264" max="266" width="11.42578125" style="238"/>
    <col min="267" max="267" width="6.7109375" style="238" customWidth="1"/>
    <col min="268" max="512" width="11.42578125" style="238"/>
    <col min="513" max="513" width="6.28515625" style="238" customWidth="1"/>
    <col min="514" max="514" width="11.7109375" style="238" customWidth="1"/>
    <col min="515" max="515" width="9.85546875" style="238" customWidth="1"/>
    <col min="516" max="516" width="12.42578125" style="238" customWidth="1"/>
    <col min="517" max="517" width="13.28515625" style="238" customWidth="1"/>
    <col min="518" max="518" width="12.42578125" style="238" customWidth="1"/>
    <col min="519" max="519" width="11.85546875" style="238" customWidth="1"/>
    <col min="520" max="522" width="11.42578125" style="238"/>
    <col min="523" max="523" width="6.7109375" style="238" customWidth="1"/>
    <col min="524" max="768" width="11.42578125" style="238"/>
    <col min="769" max="769" width="6.28515625" style="238" customWidth="1"/>
    <col min="770" max="770" width="11.7109375" style="238" customWidth="1"/>
    <col min="771" max="771" width="9.85546875" style="238" customWidth="1"/>
    <col min="772" max="772" width="12.42578125" style="238" customWidth="1"/>
    <col min="773" max="773" width="13.28515625" style="238" customWidth="1"/>
    <col min="774" max="774" width="12.42578125" style="238" customWidth="1"/>
    <col min="775" max="775" width="11.85546875" style="238" customWidth="1"/>
    <col min="776" max="778" width="11.42578125" style="238"/>
    <col min="779" max="779" width="6.7109375" style="238" customWidth="1"/>
    <col min="780" max="1024" width="11.42578125" style="238"/>
    <col min="1025" max="1025" width="6.28515625" style="238" customWidth="1"/>
    <col min="1026" max="1026" width="11.7109375" style="238" customWidth="1"/>
    <col min="1027" max="1027" width="9.85546875" style="238" customWidth="1"/>
    <col min="1028" max="1028" width="12.42578125" style="238" customWidth="1"/>
    <col min="1029" max="1029" width="13.28515625" style="238" customWidth="1"/>
    <col min="1030" max="1030" width="12.42578125" style="238" customWidth="1"/>
    <col min="1031" max="1031" width="11.85546875" style="238" customWidth="1"/>
    <col min="1032" max="1034" width="11.42578125" style="238"/>
    <col min="1035" max="1035" width="6.7109375" style="238" customWidth="1"/>
    <col min="1036" max="1280" width="11.42578125" style="238"/>
    <col min="1281" max="1281" width="6.28515625" style="238" customWidth="1"/>
    <col min="1282" max="1282" width="11.7109375" style="238" customWidth="1"/>
    <col min="1283" max="1283" width="9.85546875" style="238" customWidth="1"/>
    <col min="1284" max="1284" width="12.42578125" style="238" customWidth="1"/>
    <col min="1285" max="1285" width="13.28515625" style="238" customWidth="1"/>
    <col min="1286" max="1286" width="12.42578125" style="238" customWidth="1"/>
    <col min="1287" max="1287" width="11.85546875" style="238" customWidth="1"/>
    <col min="1288" max="1290" width="11.42578125" style="238"/>
    <col min="1291" max="1291" width="6.7109375" style="238" customWidth="1"/>
    <col min="1292" max="1536" width="11.42578125" style="238"/>
    <col min="1537" max="1537" width="6.28515625" style="238" customWidth="1"/>
    <col min="1538" max="1538" width="11.7109375" style="238" customWidth="1"/>
    <col min="1539" max="1539" width="9.85546875" style="238" customWidth="1"/>
    <col min="1540" max="1540" width="12.42578125" style="238" customWidth="1"/>
    <col min="1541" max="1541" width="13.28515625" style="238" customWidth="1"/>
    <col min="1542" max="1542" width="12.42578125" style="238" customWidth="1"/>
    <col min="1543" max="1543" width="11.85546875" style="238" customWidth="1"/>
    <col min="1544" max="1546" width="11.42578125" style="238"/>
    <col min="1547" max="1547" width="6.7109375" style="238" customWidth="1"/>
    <col min="1548" max="1792" width="11.42578125" style="238"/>
    <col min="1793" max="1793" width="6.28515625" style="238" customWidth="1"/>
    <col min="1794" max="1794" width="11.7109375" style="238" customWidth="1"/>
    <col min="1795" max="1795" width="9.85546875" style="238" customWidth="1"/>
    <col min="1796" max="1796" width="12.42578125" style="238" customWidth="1"/>
    <col min="1797" max="1797" width="13.28515625" style="238" customWidth="1"/>
    <col min="1798" max="1798" width="12.42578125" style="238" customWidth="1"/>
    <col min="1799" max="1799" width="11.85546875" style="238" customWidth="1"/>
    <col min="1800" max="1802" width="11.42578125" style="238"/>
    <col min="1803" max="1803" width="6.7109375" style="238" customWidth="1"/>
    <col min="1804" max="2048" width="11.42578125" style="238"/>
    <col min="2049" max="2049" width="6.28515625" style="238" customWidth="1"/>
    <col min="2050" max="2050" width="11.7109375" style="238" customWidth="1"/>
    <col min="2051" max="2051" width="9.85546875" style="238" customWidth="1"/>
    <col min="2052" max="2052" width="12.42578125" style="238" customWidth="1"/>
    <col min="2053" max="2053" width="13.28515625" style="238" customWidth="1"/>
    <col min="2054" max="2054" width="12.42578125" style="238" customWidth="1"/>
    <col min="2055" max="2055" width="11.85546875" style="238" customWidth="1"/>
    <col min="2056" max="2058" width="11.42578125" style="238"/>
    <col min="2059" max="2059" width="6.7109375" style="238" customWidth="1"/>
    <col min="2060" max="2304" width="11.42578125" style="238"/>
    <col min="2305" max="2305" width="6.28515625" style="238" customWidth="1"/>
    <col min="2306" max="2306" width="11.7109375" style="238" customWidth="1"/>
    <col min="2307" max="2307" width="9.85546875" style="238" customWidth="1"/>
    <col min="2308" max="2308" width="12.42578125" style="238" customWidth="1"/>
    <col min="2309" max="2309" width="13.28515625" style="238" customWidth="1"/>
    <col min="2310" max="2310" width="12.42578125" style="238" customWidth="1"/>
    <col min="2311" max="2311" width="11.85546875" style="238" customWidth="1"/>
    <col min="2312" max="2314" width="11.42578125" style="238"/>
    <col min="2315" max="2315" width="6.7109375" style="238" customWidth="1"/>
    <col min="2316" max="2560" width="11.42578125" style="238"/>
    <col min="2561" max="2561" width="6.28515625" style="238" customWidth="1"/>
    <col min="2562" max="2562" width="11.7109375" style="238" customWidth="1"/>
    <col min="2563" max="2563" width="9.85546875" style="238" customWidth="1"/>
    <col min="2564" max="2564" width="12.42578125" style="238" customWidth="1"/>
    <col min="2565" max="2565" width="13.28515625" style="238" customWidth="1"/>
    <col min="2566" max="2566" width="12.42578125" style="238" customWidth="1"/>
    <col min="2567" max="2567" width="11.85546875" style="238" customWidth="1"/>
    <col min="2568" max="2570" width="11.42578125" style="238"/>
    <col min="2571" max="2571" width="6.7109375" style="238" customWidth="1"/>
    <col min="2572" max="2816" width="11.42578125" style="238"/>
    <col min="2817" max="2817" width="6.28515625" style="238" customWidth="1"/>
    <col min="2818" max="2818" width="11.7109375" style="238" customWidth="1"/>
    <col min="2819" max="2819" width="9.85546875" style="238" customWidth="1"/>
    <col min="2820" max="2820" width="12.42578125" style="238" customWidth="1"/>
    <col min="2821" max="2821" width="13.28515625" style="238" customWidth="1"/>
    <col min="2822" max="2822" width="12.42578125" style="238" customWidth="1"/>
    <col min="2823" max="2823" width="11.85546875" style="238" customWidth="1"/>
    <col min="2824" max="2826" width="11.42578125" style="238"/>
    <col min="2827" max="2827" width="6.7109375" style="238" customWidth="1"/>
    <col min="2828" max="3072" width="11.42578125" style="238"/>
    <col min="3073" max="3073" width="6.28515625" style="238" customWidth="1"/>
    <col min="3074" max="3074" width="11.7109375" style="238" customWidth="1"/>
    <col min="3075" max="3075" width="9.85546875" style="238" customWidth="1"/>
    <col min="3076" max="3076" width="12.42578125" style="238" customWidth="1"/>
    <col min="3077" max="3077" width="13.28515625" style="238" customWidth="1"/>
    <col min="3078" max="3078" width="12.42578125" style="238" customWidth="1"/>
    <col min="3079" max="3079" width="11.85546875" style="238" customWidth="1"/>
    <col min="3080" max="3082" width="11.42578125" style="238"/>
    <col min="3083" max="3083" width="6.7109375" style="238" customWidth="1"/>
    <col min="3084" max="3328" width="11.42578125" style="238"/>
    <col min="3329" max="3329" width="6.28515625" style="238" customWidth="1"/>
    <col min="3330" max="3330" width="11.7109375" style="238" customWidth="1"/>
    <col min="3331" max="3331" width="9.85546875" style="238" customWidth="1"/>
    <col min="3332" max="3332" width="12.42578125" style="238" customWidth="1"/>
    <col min="3333" max="3333" width="13.28515625" style="238" customWidth="1"/>
    <col min="3334" max="3334" width="12.42578125" style="238" customWidth="1"/>
    <col min="3335" max="3335" width="11.85546875" style="238" customWidth="1"/>
    <col min="3336" max="3338" width="11.42578125" style="238"/>
    <col min="3339" max="3339" width="6.7109375" style="238" customWidth="1"/>
    <col min="3340" max="3584" width="11.42578125" style="238"/>
    <col min="3585" max="3585" width="6.28515625" style="238" customWidth="1"/>
    <col min="3586" max="3586" width="11.7109375" style="238" customWidth="1"/>
    <col min="3587" max="3587" width="9.85546875" style="238" customWidth="1"/>
    <col min="3588" max="3588" width="12.42578125" style="238" customWidth="1"/>
    <col min="3589" max="3589" width="13.28515625" style="238" customWidth="1"/>
    <col min="3590" max="3590" width="12.42578125" style="238" customWidth="1"/>
    <col min="3591" max="3591" width="11.85546875" style="238" customWidth="1"/>
    <col min="3592" max="3594" width="11.42578125" style="238"/>
    <col min="3595" max="3595" width="6.7109375" style="238" customWidth="1"/>
    <col min="3596" max="3840" width="11.42578125" style="238"/>
    <col min="3841" max="3841" width="6.28515625" style="238" customWidth="1"/>
    <col min="3842" max="3842" width="11.7109375" style="238" customWidth="1"/>
    <col min="3843" max="3843" width="9.85546875" style="238" customWidth="1"/>
    <col min="3844" max="3844" width="12.42578125" style="238" customWidth="1"/>
    <col min="3845" max="3845" width="13.28515625" style="238" customWidth="1"/>
    <col min="3846" max="3846" width="12.42578125" style="238" customWidth="1"/>
    <col min="3847" max="3847" width="11.85546875" style="238" customWidth="1"/>
    <col min="3848" max="3850" width="11.42578125" style="238"/>
    <col min="3851" max="3851" width="6.7109375" style="238" customWidth="1"/>
    <col min="3852" max="4096" width="11.42578125" style="238"/>
    <col min="4097" max="4097" width="6.28515625" style="238" customWidth="1"/>
    <col min="4098" max="4098" width="11.7109375" style="238" customWidth="1"/>
    <col min="4099" max="4099" width="9.85546875" style="238" customWidth="1"/>
    <col min="4100" max="4100" width="12.42578125" style="238" customWidth="1"/>
    <col min="4101" max="4101" width="13.28515625" style="238" customWidth="1"/>
    <col min="4102" max="4102" width="12.42578125" style="238" customWidth="1"/>
    <col min="4103" max="4103" width="11.85546875" style="238" customWidth="1"/>
    <col min="4104" max="4106" width="11.42578125" style="238"/>
    <col min="4107" max="4107" width="6.7109375" style="238" customWidth="1"/>
    <col min="4108" max="4352" width="11.42578125" style="238"/>
    <col min="4353" max="4353" width="6.28515625" style="238" customWidth="1"/>
    <col min="4354" max="4354" width="11.7109375" style="238" customWidth="1"/>
    <col min="4355" max="4355" width="9.85546875" style="238" customWidth="1"/>
    <col min="4356" max="4356" width="12.42578125" style="238" customWidth="1"/>
    <col min="4357" max="4357" width="13.28515625" style="238" customWidth="1"/>
    <col min="4358" max="4358" width="12.42578125" style="238" customWidth="1"/>
    <col min="4359" max="4359" width="11.85546875" style="238" customWidth="1"/>
    <col min="4360" max="4362" width="11.42578125" style="238"/>
    <col min="4363" max="4363" width="6.7109375" style="238" customWidth="1"/>
    <col min="4364" max="4608" width="11.42578125" style="238"/>
    <col min="4609" max="4609" width="6.28515625" style="238" customWidth="1"/>
    <col min="4610" max="4610" width="11.7109375" style="238" customWidth="1"/>
    <col min="4611" max="4611" width="9.85546875" style="238" customWidth="1"/>
    <col min="4612" max="4612" width="12.42578125" style="238" customWidth="1"/>
    <col min="4613" max="4613" width="13.28515625" style="238" customWidth="1"/>
    <col min="4614" max="4614" width="12.42578125" style="238" customWidth="1"/>
    <col min="4615" max="4615" width="11.85546875" style="238" customWidth="1"/>
    <col min="4616" max="4618" width="11.42578125" style="238"/>
    <col min="4619" max="4619" width="6.7109375" style="238" customWidth="1"/>
    <col min="4620" max="4864" width="11.42578125" style="238"/>
    <col min="4865" max="4865" width="6.28515625" style="238" customWidth="1"/>
    <col min="4866" max="4866" width="11.7109375" style="238" customWidth="1"/>
    <col min="4867" max="4867" width="9.85546875" style="238" customWidth="1"/>
    <col min="4868" max="4868" width="12.42578125" style="238" customWidth="1"/>
    <col min="4869" max="4869" width="13.28515625" style="238" customWidth="1"/>
    <col min="4870" max="4870" width="12.42578125" style="238" customWidth="1"/>
    <col min="4871" max="4871" width="11.85546875" style="238" customWidth="1"/>
    <col min="4872" max="4874" width="11.42578125" style="238"/>
    <col min="4875" max="4875" width="6.7109375" style="238" customWidth="1"/>
    <col min="4876" max="5120" width="11.42578125" style="238"/>
    <col min="5121" max="5121" width="6.28515625" style="238" customWidth="1"/>
    <col min="5122" max="5122" width="11.7109375" style="238" customWidth="1"/>
    <col min="5123" max="5123" width="9.85546875" style="238" customWidth="1"/>
    <col min="5124" max="5124" width="12.42578125" style="238" customWidth="1"/>
    <col min="5125" max="5125" width="13.28515625" style="238" customWidth="1"/>
    <col min="5126" max="5126" width="12.42578125" style="238" customWidth="1"/>
    <col min="5127" max="5127" width="11.85546875" style="238" customWidth="1"/>
    <col min="5128" max="5130" width="11.42578125" style="238"/>
    <col min="5131" max="5131" width="6.7109375" style="238" customWidth="1"/>
    <col min="5132" max="5376" width="11.42578125" style="238"/>
    <col min="5377" max="5377" width="6.28515625" style="238" customWidth="1"/>
    <col min="5378" max="5378" width="11.7109375" style="238" customWidth="1"/>
    <col min="5379" max="5379" width="9.85546875" style="238" customWidth="1"/>
    <col min="5380" max="5380" width="12.42578125" style="238" customWidth="1"/>
    <col min="5381" max="5381" width="13.28515625" style="238" customWidth="1"/>
    <col min="5382" max="5382" width="12.42578125" style="238" customWidth="1"/>
    <col min="5383" max="5383" width="11.85546875" style="238" customWidth="1"/>
    <col min="5384" max="5386" width="11.42578125" style="238"/>
    <col min="5387" max="5387" width="6.7109375" style="238" customWidth="1"/>
    <col min="5388" max="5632" width="11.42578125" style="238"/>
    <col min="5633" max="5633" width="6.28515625" style="238" customWidth="1"/>
    <col min="5634" max="5634" width="11.7109375" style="238" customWidth="1"/>
    <col min="5635" max="5635" width="9.85546875" style="238" customWidth="1"/>
    <col min="5636" max="5636" width="12.42578125" style="238" customWidth="1"/>
    <col min="5637" max="5637" width="13.28515625" style="238" customWidth="1"/>
    <col min="5638" max="5638" width="12.42578125" style="238" customWidth="1"/>
    <col min="5639" max="5639" width="11.85546875" style="238" customWidth="1"/>
    <col min="5640" max="5642" width="11.42578125" style="238"/>
    <col min="5643" max="5643" width="6.7109375" style="238" customWidth="1"/>
    <col min="5644" max="5888" width="11.42578125" style="238"/>
    <col min="5889" max="5889" width="6.28515625" style="238" customWidth="1"/>
    <col min="5890" max="5890" width="11.7109375" style="238" customWidth="1"/>
    <col min="5891" max="5891" width="9.85546875" style="238" customWidth="1"/>
    <col min="5892" max="5892" width="12.42578125" style="238" customWidth="1"/>
    <col min="5893" max="5893" width="13.28515625" style="238" customWidth="1"/>
    <col min="5894" max="5894" width="12.42578125" style="238" customWidth="1"/>
    <col min="5895" max="5895" width="11.85546875" style="238" customWidth="1"/>
    <col min="5896" max="5898" width="11.42578125" style="238"/>
    <col min="5899" max="5899" width="6.7109375" style="238" customWidth="1"/>
    <col min="5900" max="6144" width="11.42578125" style="238"/>
    <col min="6145" max="6145" width="6.28515625" style="238" customWidth="1"/>
    <col min="6146" max="6146" width="11.7109375" style="238" customWidth="1"/>
    <col min="6147" max="6147" width="9.85546875" style="238" customWidth="1"/>
    <col min="6148" max="6148" width="12.42578125" style="238" customWidth="1"/>
    <col min="6149" max="6149" width="13.28515625" style="238" customWidth="1"/>
    <col min="6150" max="6150" width="12.42578125" style="238" customWidth="1"/>
    <col min="6151" max="6151" width="11.85546875" style="238" customWidth="1"/>
    <col min="6152" max="6154" width="11.42578125" style="238"/>
    <col min="6155" max="6155" width="6.7109375" style="238" customWidth="1"/>
    <col min="6156" max="6400" width="11.42578125" style="238"/>
    <col min="6401" max="6401" width="6.28515625" style="238" customWidth="1"/>
    <col min="6402" max="6402" width="11.7109375" style="238" customWidth="1"/>
    <col min="6403" max="6403" width="9.85546875" style="238" customWidth="1"/>
    <col min="6404" max="6404" width="12.42578125" style="238" customWidth="1"/>
    <col min="6405" max="6405" width="13.28515625" style="238" customWidth="1"/>
    <col min="6406" max="6406" width="12.42578125" style="238" customWidth="1"/>
    <col min="6407" max="6407" width="11.85546875" style="238" customWidth="1"/>
    <col min="6408" max="6410" width="11.42578125" style="238"/>
    <col min="6411" max="6411" width="6.7109375" style="238" customWidth="1"/>
    <col min="6412" max="6656" width="11.42578125" style="238"/>
    <col min="6657" max="6657" width="6.28515625" style="238" customWidth="1"/>
    <col min="6658" max="6658" width="11.7109375" style="238" customWidth="1"/>
    <col min="6659" max="6659" width="9.85546875" style="238" customWidth="1"/>
    <col min="6660" max="6660" width="12.42578125" style="238" customWidth="1"/>
    <col min="6661" max="6661" width="13.28515625" style="238" customWidth="1"/>
    <col min="6662" max="6662" width="12.42578125" style="238" customWidth="1"/>
    <col min="6663" max="6663" width="11.85546875" style="238" customWidth="1"/>
    <col min="6664" max="6666" width="11.42578125" style="238"/>
    <col min="6667" max="6667" width="6.7109375" style="238" customWidth="1"/>
    <col min="6668" max="6912" width="11.42578125" style="238"/>
    <col min="6913" max="6913" width="6.28515625" style="238" customWidth="1"/>
    <col min="6914" max="6914" width="11.7109375" style="238" customWidth="1"/>
    <col min="6915" max="6915" width="9.85546875" style="238" customWidth="1"/>
    <col min="6916" max="6916" width="12.42578125" style="238" customWidth="1"/>
    <col min="6917" max="6917" width="13.28515625" style="238" customWidth="1"/>
    <col min="6918" max="6918" width="12.42578125" style="238" customWidth="1"/>
    <col min="6919" max="6919" width="11.85546875" style="238" customWidth="1"/>
    <col min="6920" max="6922" width="11.42578125" style="238"/>
    <col min="6923" max="6923" width="6.7109375" style="238" customWidth="1"/>
    <col min="6924" max="7168" width="11.42578125" style="238"/>
    <col min="7169" max="7169" width="6.28515625" style="238" customWidth="1"/>
    <col min="7170" max="7170" width="11.7109375" style="238" customWidth="1"/>
    <col min="7171" max="7171" width="9.85546875" style="238" customWidth="1"/>
    <col min="7172" max="7172" width="12.42578125" style="238" customWidth="1"/>
    <col min="7173" max="7173" width="13.28515625" style="238" customWidth="1"/>
    <col min="7174" max="7174" width="12.42578125" style="238" customWidth="1"/>
    <col min="7175" max="7175" width="11.85546875" style="238" customWidth="1"/>
    <col min="7176" max="7178" width="11.42578125" style="238"/>
    <col min="7179" max="7179" width="6.7109375" style="238" customWidth="1"/>
    <col min="7180" max="7424" width="11.42578125" style="238"/>
    <col min="7425" max="7425" width="6.28515625" style="238" customWidth="1"/>
    <col min="7426" max="7426" width="11.7109375" style="238" customWidth="1"/>
    <col min="7427" max="7427" width="9.85546875" style="238" customWidth="1"/>
    <col min="7428" max="7428" width="12.42578125" style="238" customWidth="1"/>
    <col min="7429" max="7429" width="13.28515625" style="238" customWidth="1"/>
    <col min="7430" max="7430" width="12.42578125" style="238" customWidth="1"/>
    <col min="7431" max="7431" width="11.85546875" style="238" customWidth="1"/>
    <col min="7432" max="7434" width="11.42578125" style="238"/>
    <col min="7435" max="7435" width="6.7109375" style="238" customWidth="1"/>
    <col min="7436" max="7680" width="11.42578125" style="238"/>
    <col min="7681" max="7681" width="6.28515625" style="238" customWidth="1"/>
    <col min="7682" max="7682" width="11.7109375" style="238" customWidth="1"/>
    <col min="7683" max="7683" width="9.85546875" style="238" customWidth="1"/>
    <col min="7684" max="7684" width="12.42578125" style="238" customWidth="1"/>
    <col min="7685" max="7685" width="13.28515625" style="238" customWidth="1"/>
    <col min="7686" max="7686" width="12.42578125" style="238" customWidth="1"/>
    <col min="7687" max="7687" width="11.85546875" style="238" customWidth="1"/>
    <col min="7688" max="7690" width="11.42578125" style="238"/>
    <col min="7691" max="7691" width="6.7109375" style="238" customWidth="1"/>
    <col min="7692" max="7936" width="11.42578125" style="238"/>
    <col min="7937" max="7937" width="6.28515625" style="238" customWidth="1"/>
    <col min="7938" max="7938" width="11.7109375" style="238" customWidth="1"/>
    <col min="7939" max="7939" width="9.85546875" style="238" customWidth="1"/>
    <col min="7940" max="7940" width="12.42578125" style="238" customWidth="1"/>
    <col min="7941" max="7941" width="13.28515625" style="238" customWidth="1"/>
    <col min="7942" max="7942" width="12.42578125" style="238" customWidth="1"/>
    <col min="7943" max="7943" width="11.85546875" style="238" customWidth="1"/>
    <col min="7944" max="7946" width="11.42578125" style="238"/>
    <col min="7947" max="7947" width="6.7109375" style="238" customWidth="1"/>
    <col min="7948" max="8192" width="11.42578125" style="238"/>
    <col min="8193" max="8193" width="6.28515625" style="238" customWidth="1"/>
    <col min="8194" max="8194" width="11.7109375" style="238" customWidth="1"/>
    <col min="8195" max="8195" width="9.85546875" style="238" customWidth="1"/>
    <col min="8196" max="8196" width="12.42578125" style="238" customWidth="1"/>
    <col min="8197" max="8197" width="13.28515625" style="238" customWidth="1"/>
    <col min="8198" max="8198" width="12.42578125" style="238" customWidth="1"/>
    <col min="8199" max="8199" width="11.85546875" style="238" customWidth="1"/>
    <col min="8200" max="8202" width="11.42578125" style="238"/>
    <col min="8203" max="8203" width="6.7109375" style="238" customWidth="1"/>
    <col min="8204" max="8448" width="11.42578125" style="238"/>
    <col min="8449" max="8449" width="6.28515625" style="238" customWidth="1"/>
    <col min="8450" max="8450" width="11.7109375" style="238" customWidth="1"/>
    <col min="8451" max="8451" width="9.85546875" style="238" customWidth="1"/>
    <col min="8452" max="8452" width="12.42578125" style="238" customWidth="1"/>
    <col min="8453" max="8453" width="13.28515625" style="238" customWidth="1"/>
    <col min="8454" max="8454" width="12.42578125" style="238" customWidth="1"/>
    <col min="8455" max="8455" width="11.85546875" style="238" customWidth="1"/>
    <col min="8456" max="8458" width="11.42578125" style="238"/>
    <col min="8459" max="8459" width="6.7109375" style="238" customWidth="1"/>
    <col min="8460" max="8704" width="11.42578125" style="238"/>
    <col min="8705" max="8705" width="6.28515625" style="238" customWidth="1"/>
    <col min="8706" max="8706" width="11.7109375" style="238" customWidth="1"/>
    <col min="8707" max="8707" width="9.85546875" style="238" customWidth="1"/>
    <col min="8708" max="8708" width="12.42578125" style="238" customWidth="1"/>
    <col min="8709" max="8709" width="13.28515625" style="238" customWidth="1"/>
    <col min="8710" max="8710" width="12.42578125" style="238" customWidth="1"/>
    <col min="8711" max="8711" width="11.85546875" style="238" customWidth="1"/>
    <col min="8712" max="8714" width="11.42578125" style="238"/>
    <col min="8715" max="8715" width="6.7109375" style="238" customWidth="1"/>
    <col min="8716" max="8960" width="11.42578125" style="238"/>
    <col min="8961" max="8961" width="6.28515625" style="238" customWidth="1"/>
    <col min="8962" max="8962" width="11.7109375" style="238" customWidth="1"/>
    <col min="8963" max="8963" width="9.85546875" style="238" customWidth="1"/>
    <col min="8964" max="8964" width="12.42578125" style="238" customWidth="1"/>
    <col min="8965" max="8965" width="13.28515625" style="238" customWidth="1"/>
    <col min="8966" max="8966" width="12.42578125" style="238" customWidth="1"/>
    <col min="8967" max="8967" width="11.85546875" style="238" customWidth="1"/>
    <col min="8968" max="8970" width="11.42578125" style="238"/>
    <col min="8971" max="8971" width="6.7109375" style="238" customWidth="1"/>
    <col min="8972" max="9216" width="11.42578125" style="238"/>
    <col min="9217" max="9217" width="6.28515625" style="238" customWidth="1"/>
    <col min="9218" max="9218" width="11.7109375" style="238" customWidth="1"/>
    <col min="9219" max="9219" width="9.85546875" style="238" customWidth="1"/>
    <col min="9220" max="9220" width="12.42578125" style="238" customWidth="1"/>
    <col min="9221" max="9221" width="13.28515625" style="238" customWidth="1"/>
    <col min="9222" max="9222" width="12.42578125" style="238" customWidth="1"/>
    <col min="9223" max="9223" width="11.85546875" style="238" customWidth="1"/>
    <col min="9224" max="9226" width="11.42578125" style="238"/>
    <col min="9227" max="9227" width="6.7109375" style="238" customWidth="1"/>
    <col min="9228" max="9472" width="11.42578125" style="238"/>
    <col min="9473" max="9473" width="6.28515625" style="238" customWidth="1"/>
    <col min="9474" max="9474" width="11.7109375" style="238" customWidth="1"/>
    <col min="9475" max="9475" width="9.85546875" style="238" customWidth="1"/>
    <col min="9476" max="9476" width="12.42578125" style="238" customWidth="1"/>
    <col min="9477" max="9477" width="13.28515625" style="238" customWidth="1"/>
    <col min="9478" max="9478" width="12.42578125" style="238" customWidth="1"/>
    <col min="9479" max="9479" width="11.85546875" style="238" customWidth="1"/>
    <col min="9480" max="9482" width="11.42578125" style="238"/>
    <col min="9483" max="9483" width="6.7109375" style="238" customWidth="1"/>
    <col min="9484" max="9728" width="11.42578125" style="238"/>
    <col min="9729" max="9729" width="6.28515625" style="238" customWidth="1"/>
    <col min="9730" max="9730" width="11.7109375" style="238" customWidth="1"/>
    <col min="9731" max="9731" width="9.85546875" style="238" customWidth="1"/>
    <col min="9732" max="9732" width="12.42578125" style="238" customWidth="1"/>
    <col min="9733" max="9733" width="13.28515625" style="238" customWidth="1"/>
    <col min="9734" max="9734" width="12.42578125" style="238" customWidth="1"/>
    <col min="9735" max="9735" width="11.85546875" style="238" customWidth="1"/>
    <col min="9736" max="9738" width="11.42578125" style="238"/>
    <col min="9739" max="9739" width="6.7109375" style="238" customWidth="1"/>
    <col min="9740" max="9984" width="11.42578125" style="238"/>
    <col min="9985" max="9985" width="6.28515625" style="238" customWidth="1"/>
    <col min="9986" max="9986" width="11.7109375" style="238" customWidth="1"/>
    <col min="9987" max="9987" width="9.85546875" style="238" customWidth="1"/>
    <col min="9988" max="9988" width="12.42578125" style="238" customWidth="1"/>
    <col min="9989" max="9989" width="13.28515625" style="238" customWidth="1"/>
    <col min="9990" max="9990" width="12.42578125" style="238" customWidth="1"/>
    <col min="9991" max="9991" width="11.85546875" style="238" customWidth="1"/>
    <col min="9992" max="9994" width="11.42578125" style="238"/>
    <col min="9995" max="9995" width="6.7109375" style="238" customWidth="1"/>
    <col min="9996" max="10240" width="11.42578125" style="238"/>
    <col min="10241" max="10241" width="6.28515625" style="238" customWidth="1"/>
    <col min="10242" max="10242" width="11.7109375" style="238" customWidth="1"/>
    <col min="10243" max="10243" width="9.85546875" style="238" customWidth="1"/>
    <col min="10244" max="10244" width="12.42578125" style="238" customWidth="1"/>
    <col min="10245" max="10245" width="13.28515625" style="238" customWidth="1"/>
    <col min="10246" max="10246" width="12.42578125" style="238" customWidth="1"/>
    <col min="10247" max="10247" width="11.85546875" style="238" customWidth="1"/>
    <col min="10248" max="10250" width="11.42578125" style="238"/>
    <col min="10251" max="10251" width="6.7109375" style="238" customWidth="1"/>
    <col min="10252" max="10496" width="11.42578125" style="238"/>
    <col min="10497" max="10497" width="6.28515625" style="238" customWidth="1"/>
    <col min="10498" max="10498" width="11.7109375" style="238" customWidth="1"/>
    <col min="10499" max="10499" width="9.85546875" style="238" customWidth="1"/>
    <col min="10500" max="10500" width="12.42578125" style="238" customWidth="1"/>
    <col min="10501" max="10501" width="13.28515625" style="238" customWidth="1"/>
    <col min="10502" max="10502" width="12.42578125" style="238" customWidth="1"/>
    <col min="10503" max="10503" width="11.85546875" style="238" customWidth="1"/>
    <col min="10504" max="10506" width="11.42578125" style="238"/>
    <col min="10507" max="10507" width="6.7109375" style="238" customWidth="1"/>
    <col min="10508" max="10752" width="11.42578125" style="238"/>
    <col min="10753" max="10753" width="6.28515625" style="238" customWidth="1"/>
    <col min="10754" max="10754" width="11.7109375" style="238" customWidth="1"/>
    <col min="10755" max="10755" width="9.85546875" style="238" customWidth="1"/>
    <col min="10756" max="10756" width="12.42578125" style="238" customWidth="1"/>
    <col min="10757" max="10757" width="13.28515625" style="238" customWidth="1"/>
    <col min="10758" max="10758" width="12.42578125" style="238" customWidth="1"/>
    <col min="10759" max="10759" width="11.85546875" style="238" customWidth="1"/>
    <col min="10760" max="10762" width="11.42578125" style="238"/>
    <col min="10763" max="10763" width="6.7109375" style="238" customWidth="1"/>
    <col min="10764" max="11008" width="11.42578125" style="238"/>
    <col min="11009" max="11009" width="6.28515625" style="238" customWidth="1"/>
    <col min="11010" max="11010" width="11.7109375" style="238" customWidth="1"/>
    <col min="11011" max="11011" width="9.85546875" style="238" customWidth="1"/>
    <col min="11012" max="11012" width="12.42578125" style="238" customWidth="1"/>
    <col min="11013" max="11013" width="13.28515625" style="238" customWidth="1"/>
    <col min="11014" max="11014" width="12.42578125" style="238" customWidth="1"/>
    <col min="11015" max="11015" width="11.85546875" style="238" customWidth="1"/>
    <col min="11016" max="11018" width="11.42578125" style="238"/>
    <col min="11019" max="11019" width="6.7109375" style="238" customWidth="1"/>
    <col min="11020" max="11264" width="11.42578125" style="238"/>
    <col min="11265" max="11265" width="6.28515625" style="238" customWidth="1"/>
    <col min="11266" max="11266" width="11.7109375" style="238" customWidth="1"/>
    <col min="11267" max="11267" width="9.85546875" style="238" customWidth="1"/>
    <col min="11268" max="11268" width="12.42578125" style="238" customWidth="1"/>
    <col min="11269" max="11269" width="13.28515625" style="238" customWidth="1"/>
    <col min="11270" max="11270" width="12.42578125" style="238" customWidth="1"/>
    <col min="11271" max="11271" width="11.85546875" style="238" customWidth="1"/>
    <col min="11272" max="11274" width="11.42578125" style="238"/>
    <col min="11275" max="11275" width="6.7109375" style="238" customWidth="1"/>
    <col min="11276" max="11520" width="11.42578125" style="238"/>
    <col min="11521" max="11521" width="6.28515625" style="238" customWidth="1"/>
    <col min="11522" max="11522" width="11.7109375" style="238" customWidth="1"/>
    <col min="11523" max="11523" width="9.85546875" style="238" customWidth="1"/>
    <col min="11524" max="11524" width="12.42578125" style="238" customWidth="1"/>
    <col min="11525" max="11525" width="13.28515625" style="238" customWidth="1"/>
    <col min="11526" max="11526" width="12.42578125" style="238" customWidth="1"/>
    <col min="11527" max="11527" width="11.85546875" style="238" customWidth="1"/>
    <col min="11528" max="11530" width="11.42578125" style="238"/>
    <col min="11531" max="11531" width="6.7109375" style="238" customWidth="1"/>
    <col min="11532" max="11776" width="11.42578125" style="238"/>
    <col min="11777" max="11777" width="6.28515625" style="238" customWidth="1"/>
    <col min="11778" max="11778" width="11.7109375" style="238" customWidth="1"/>
    <col min="11779" max="11779" width="9.85546875" style="238" customWidth="1"/>
    <col min="11780" max="11780" width="12.42578125" style="238" customWidth="1"/>
    <col min="11781" max="11781" width="13.28515625" style="238" customWidth="1"/>
    <col min="11782" max="11782" width="12.42578125" style="238" customWidth="1"/>
    <col min="11783" max="11783" width="11.85546875" style="238" customWidth="1"/>
    <col min="11784" max="11786" width="11.42578125" style="238"/>
    <col min="11787" max="11787" width="6.7109375" style="238" customWidth="1"/>
    <col min="11788" max="12032" width="11.42578125" style="238"/>
    <col min="12033" max="12033" width="6.28515625" style="238" customWidth="1"/>
    <col min="12034" max="12034" width="11.7109375" style="238" customWidth="1"/>
    <col min="12035" max="12035" width="9.85546875" style="238" customWidth="1"/>
    <col min="12036" max="12036" width="12.42578125" style="238" customWidth="1"/>
    <col min="12037" max="12037" width="13.28515625" style="238" customWidth="1"/>
    <col min="12038" max="12038" width="12.42578125" style="238" customWidth="1"/>
    <col min="12039" max="12039" width="11.85546875" style="238" customWidth="1"/>
    <col min="12040" max="12042" width="11.42578125" style="238"/>
    <col min="12043" max="12043" width="6.7109375" style="238" customWidth="1"/>
    <col min="12044" max="12288" width="11.42578125" style="238"/>
    <col min="12289" max="12289" width="6.28515625" style="238" customWidth="1"/>
    <col min="12290" max="12290" width="11.7109375" style="238" customWidth="1"/>
    <col min="12291" max="12291" width="9.85546875" style="238" customWidth="1"/>
    <col min="12292" max="12292" width="12.42578125" style="238" customWidth="1"/>
    <col min="12293" max="12293" width="13.28515625" style="238" customWidth="1"/>
    <col min="12294" max="12294" width="12.42578125" style="238" customWidth="1"/>
    <col min="12295" max="12295" width="11.85546875" style="238" customWidth="1"/>
    <col min="12296" max="12298" width="11.42578125" style="238"/>
    <col min="12299" max="12299" width="6.7109375" style="238" customWidth="1"/>
    <col min="12300" max="12544" width="11.42578125" style="238"/>
    <col min="12545" max="12545" width="6.28515625" style="238" customWidth="1"/>
    <col min="12546" max="12546" width="11.7109375" style="238" customWidth="1"/>
    <col min="12547" max="12547" width="9.85546875" style="238" customWidth="1"/>
    <col min="12548" max="12548" width="12.42578125" style="238" customWidth="1"/>
    <col min="12549" max="12549" width="13.28515625" style="238" customWidth="1"/>
    <col min="12550" max="12550" width="12.42578125" style="238" customWidth="1"/>
    <col min="12551" max="12551" width="11.85546875" style="238" customWidth="1"/>
    <col min="12552" max="12554" width="11.42578125" style="238"/>
    <col min="12555" max="12555" width="6.7109375" style="238" customWidth="1"/>
    <col min="12556" max="12800" width="11.42578125" style="238"/>
    <col min="12801" max="12801" width="6.28515625" style="238" customWidth="1"/>
    <col min="12802" max="12802" width="11.7109375" style="238" customWidth="1"/>
    <col min="12803" max="12803" width="9.85546875" style="238" customWidth="1"/>
    <col min="12804" max="12804" width="12.42578125" style="238" customWidth="1"/>
    <col min="12805" max="12805" width="13.28515625" style="238" customWidth="1"/>
    <col min="12806" max="12806" width="12.42578125" style="238" customWidth="1"/>
    <col min="12807" max="12807" width="11.85546875" style="238" customWidth="1"/>
    <col min="12808" max="12810" width="11.42578125" style="238"/>
    <col min="12811" max="12811" width="6.7109375" style="238" customWidth="1"/>
    <col min="12812" max="13056" width="11.42578125" style="238"/>
    <col min="13057" max="13057" width="6.28515625" style="238" customWidth="1"/>
    <col min="13058" max="13058" width="11.7109375" style="238" customWidth="1"/>
    <col min="13059" max="13059" width="9.85546875" style="238" customWidth="1"/>
    <col min="13060" max="13060" width="12.42578125" style="238" customWidth="1"/>
    <col min="13061" max="13061" width="13.28515625" style="238" customWidth="1"/>
    <col min="13062" max="13062" width="12.42578125" style="238" customWidth="1"/>
    <col min="13063" max="13063" width="11.85546875" style="238" customWidth="1"/>
    <col min="13064" max="13066" width="11.42578125" style="238"/>
    <col min="13067" max="13067" width="6.7109375" style="238" customWidth="1"/>
    <col min="13068" max="13312" width="11.42578125" style="238"/>
    <col min="13313" max="13313" width="6.28515625" style="238" customWidth="1"/>
    <col min="13314" max="13314" width="11.7109375" style="238" customWidth="1"/>
    <col min="13315" max="13315" width="9.85546875" style="238" customWidth="1"/>
    <col min="13316" max="13316" width="12.42578125" style="238" customWidth="1"/>
    <col min="13317" max="13317" width="13.28515625" style="238" customWidth="1"/>
    <col min="13318" max="13318" width="12.42578125" style="238" customWidth="1"/>
    <col min="13319" max="13319" width="11.85546875" style="238" customWidth="1"/>
    <col min="13320" max="13322" width="11.42578125" style="238"/>
    <col min="13323" max="13323" width="6.7109375" style="238" customWidth="1"/>
    <col min="13324" max="13568" width="11.42578125" style="238"/>
    <col min="13569" max="13569" width="6.28515625" style="238" customWidth="1"/>
    <col min="13570" max="13570" width="11.7109375" style="238" customWidth="1"/>
    <col min="13571" max="13571" width="9.85546875" style="238" customWidth="1"/>
    <col min="13572" max="13572" width="12.42578125" style="238" customWidth="1"/>
    <col min="13573" max="13573" width="13.28515625" style="238" customWidth="1"/>
    <col min="13574" max="13574" width="12.42578125" style="238" customWidth="1"/>
    <col min="13575" max="13575" width="11.85546875" style="238" customWidth="1"/>
    <col min="13576" max="13578" width="11.42578125" style="238"/>
    <col min="13579" max="13579" width="6.7109375" style="238" customWidth="1"/>
    <col min="13580" max="13824" width="11.42578125" style="238"/>
    <col min="13825" max="13825" width="6.28515625" style="238" customWidth="1"/>
    <col min="13826" max="13826" width="11.7109375" style="238" customWidth="1"/>
    <col min="13827" max="13827" width="9.85546875" style="238" customWidth="1"/>
    <col min="13828" max="13828" width="12.42578125" style="238" customWidth="1"/>
    <col min="13829" max="13829" width="13.28515625" style="238" customWidth="1"/>
    <col min="13830" max="13830" width="12.42578125" style="238" customWidth="1"/>
    <col min="13831" max="13831" width="11.85546875" style="238" customWidth="1"/>
    <col min="13832" max="13834" width="11.42578125" style="238"/>
    <col min="13835" max="13835" width="6.7109375" style="238" customWidth="1"/>
    <col min="13836" max="14080" width="11.42578125" style="238"/>
    <col min="14081" max="14081" width="6.28515625" style="238" customWidth="1"/>
    <col min="14082" max="14082" width="11.7109375" style="238" customWidth="1"/>
    <col min="14083" max="14083" width="9.85546875" style="238" customWidth="1"/>
    <col min="14084" max="14084" width="12.42578125" style="238" customWidth="1"/>
    <col min="14085" max="14085" width="13.28515625" style="238" customWidth="1"/>
    <col min="14086" max="14086" width="12.42578125" style="238" customWidth="1"/>
    <col min="14087" max="14087" width="11.85546875" style="238" customWidth="1"/>
    <col min="14088" max="14090" width="11.42578125" style="238"/>
    <col min="14091" max="14091" width="6.7109375" style="238" customWidth="1"/>
    <col min="14092" max="14336" width="11.42578125" style="238"/>
    <col min="14337" max="14337" width="6.28515625" style="238" customWidth="1"/>
    <col min="14338" max="14338" width="11.7109375" style="238" customWidth="1"/>
    <col min="14339" max="14339" width="9.85546875" style="238" customWidth="1"/>
    <col min="14340" max="14340" width="12.42578125" style="238" customWidth="1"/>
    <col min="14341" max="14341" width="13.28515625" style="238" customWidth="1"/>
    <col min="14342" max="14342" width="12.42578125" style="238" customWidth="1"/>
    <col min="14343" max="14343" width="11.85546875" style="238" customWidth="1"/>
    <col min="14344" max="14346" width="11.42578125" style="238"/>
    <col min="14347" max="14347" width="6.7109375" style="238" customWidth="1"/>
    <col min="14348" max="14592" width="11.42578125" style="238"/>
    <col min="14593" max="14593" width="6.28515625" style="238" customWidth="1"/>
    <col min="14594" max="14594" width="11.7109375" style="238" customWidth="1"/>
    <col min="14595" max="14595" width="9.85546875" style="238" customWidth="1"/>
    <col min="14596" max="14596" width="12.42578125" style="238" customWidth="1"/>
    <col min="14597" max="14597" width="13.28515625" style="238" customWidth="1"/>
    <col min="14598" max="14598" width="12.42578125" style="238" customWidth="1"/>
    <col min="14599" max="14599" width="11.85546875" style="238" customWidth="1"/>
    <col min="14600" max="14602" width="11.42578125" style="238"/>
    <col min="14603" max="14603" width="6.7109375" style="238" customWidth="1"/>
    <col min="14604" max="14848" width="11.42578125" style="238"/>
    <col min="14849" max="14849" width="6.28515625" style="238" customWidth="1"/>
    <col min="14850" max="14850" width="11.7109375" style="238" customWidth="1"/>
    <col min="14851" max="14851" width="9.85546875" style="238" customWidth="1"/>
    <col min="14852" max="14852" width="12.42578125" style="238" customWidth="1"/>
    <col min="14853" max="14853" width="13.28515625" style="238" customWidth="1"/>
    <col min="14854" max="14854" width="12.42578125" style="238" customWidth="1"/>
    <col min="14855" max="14855" width="11.85546875" style="238" customWidth="1"/>
    <col min="14856" max="14858" width="11.42578125" style="238"/>
    <col min="14859" max="14859" width="6.7109375" style="238" customWidth="1"/>
    <col min="14860" max="15104" width="11.42578125" style="238"/>
    <col min="15105" max="15105" width="6.28515625" style="238" customWidth="1"/>
    <col min="15106" max="15106" width="11.7109375" style="238" customWidth="1"/>
    <col min="15107" max="15107" width="9.85546875" style="238" customWidth="1"/>
    <col min="15108" max="15108" width="12.42578125" style="238" customWidth="1"/>
    <col min="15109" max="15109" width="13.28515625" style="238" customWidth="1"/>
    <col min="15110" max="15110" width="12.42578125" style="238" customWidth="1"/>
    <col min="15111" max="15111" width="11.85546875" style="238" customWidth="1"/>
    <col min="15112" max="15114" width="11.42578125" style="238"/>
    <col min="15115" max="15115" width="6.7109375" style="238" customWidth="1"/>
    <col min="15116" max="15360" width="11.42578125" style="238"/>
    <col min="15361" max="15361" width="6.28515625" style="238" customWidth="1"/>
    <col min="15362" max="15362" width="11.7109375" style="238" customWidth="1"/>
    <col min="15363" max="15363" width="9.85546875" style="238" customWidth="1"/>
    <col min="15364" max="15364" width="12.42578125" style="238" customWidth="1"/>
    <col min="15365" max="15365" width="13.28515625" style="238" customWidth="1"/>
    <col min="15366" max="15366" width="12.42578125" style="238" customWidth="1"/>
    <col min="15367" max="15367" width="11.85546875" style="238" customWidth="1"/>
    <col min="15368" max="15370" width="11.42578125" style="238"/>
    <col min="15371" max="15371" width="6.7109375" style="238" customWidth="1"/>
    <col min="15372" max="15616" width="11.42578125" style="238"/>
    <col min="15617" max="15617" width="6.28515625" style="238" customWidth="1"/>
    <col min="15618" max="15618" width="11.7109375" style="238" customWidth="1"/>
    <col min="15619" max="15619" width="9.85546875" style="238" customWidth="1"/>
    <col min="15620" max="15620" width="12.42578125" style="238" customWidth="1"/>
    <col min="15621" max="15621" width="13.28515625" style="238" customWidth="1"/>
    <col min="15622" max="15622" width="12.42578125" style="238" customWidth="1"/>
    <col min="15623" max="15623" width="11.85546875" style="238" customWidth="1"/>
    <col min="15624" max="15626" width="11.42578125" style="238"/>
    <col min="15627" max="15627" width="6.7109375" style="238" customWidth="1"/>
    <col min="15628" max="15872" width="11.42578125" style="238"/>
    <col min="15873" max="15873" width="6.28515625" style="238" customWidth="1"/>
    <col min="15874" max="15874" width="11.7109375" style="238" customWidth="1"/>
    <col min="15875" max="15875" width="9.85546875" style="238" customWidth="1"/>
    <col min="15876" max="15876" width="12.42578125" style="238" customWidth="1"/>
    <col min="15877" max="15877" width="13.28515625" style="238" customWidth="1"/>
    <col min="15878" max="15878" width="12.42578125" style="238" customWidth="1"/>
    <col min="15879" max="15879" width="11.85546875" style="238" customWidth="1"/>
    <col min="15880" max="15882" width="11.42578125" style="238"/>
    <col min="15883" max="15883" width="6.7109375" style="238" customWidth="1"/>
    <col min="15884" max="16128" width="11.42578125" style="238"/>
    <col min="16129" max="16129" width="6.28515625" style="238" customWidth="1"/>
    <col min="16130" max="16130" width="11.7109375" style="238" customWidth="1"/>
    <col min="16131" max="16131" width="9.85546875" style="238" customWidth="1"/>
    <col min="16132" max="16132" width="12.42578125" style="238" customWidth="1"/>
    <col min="16133" max="16133" width="13.28515625" style="238" customWidth="1"/>
    <col min="16134" max="16134" width="12.42578125" style="238" customWidth="1"/>
    <col min="16135" max="16135" width="11.85546875" style="238" customWidth="1"/>
    <col min="16136" max="16138" width="11.42578125" style="238"/>
    <col min="16139" max="16139" width="6.7109375" style="238" customWidth="1"/>
    <col min="16140" max="16384" width="11.42578125" style="238"/>
  </cols>
  <sheetData>
    <row r="1" spans="1:10">
      <c r="A1" s="238" t="s">
        <v>669</v>
      </c>
    </row>
    <row r="2" spans="1:10">
      <c r="A2" s="268" t="s">
        <v>670</v>
      </c>
    </row>
    <row r="3" spans="1:10" ht="18" customHeight="1">
      <c r="B3" s="1332" t="s">
        <v>163</v>
      </c>
      <c r="C3" s="1332"/>
      <c r="D3" s="1332"/>
      <c r="E3" s="1332"/>
      <c r="F3" s="1332"/>
      <c r="G3" s="1332"/>
      <c r="H3" s="1332"/>
      <c r="I3" s="1332"/>
      <c r="J3" s="1332"/>
    </row>
    <row r="4" spans="1:10" ht="18" customHeight="1">
      <c r="B4" s="1332"/>
      <c r="C4" s="1332"/>
      <c r="D4" s="1332"/>
      <c r="E4" s="1332"/>
      <c r="F4" s="1332"/>
      <c r="G4" s="1332"/>
      <c r="H4" s="1332"/>
      <c r="I4" s="1332"/>
      <c r="J4" s="1332"/>
    </row>
    <row r="5" spans="1:10" ht="15.75">
      <c r="B5" s="1294" t="s">
        <v>649</v>
      </c>
      <c r="C5" s="1294"/>
      <c r="D5" s="1294"/>
      <c r="E5" s="1294"/>
      <c r="F5" s="1294"/>
      <c r="G5" s="1294"/>
      <c r="H5" s="1294"/>
      <c r="I5" s="1294"/>
      <c r="J5" s="1294"/>
    </row>
    <row r="6" spans="1:10" ht="15.75">
      <c r="B6" s="1294" t="s">
        <v>426</v>
      </c>
      <c r="C6" s="1294"/>
      <c r="D6" s="1294"/>
      <c r="E6" s="1294"/>
      <c r="F6" s="1294"/>
      <c r="G6" s="1294"/>
      <c r="H6" s="1294"/>
      <c r="I6" s="1294"/>
      <c r="J6" s="1294"/>
    </row>
    <row r="7" spans="1:10">
      <c r="B7" s="1237" t="s">
        <v>195</v>
      </c>
      <c r="C7" s="1237"/>
      <c r="D7" s="1237"/>
      <c r="E7" s="1237"/>
      <c r="F7" s="1237"/>
      <c r="G7" s="1237"/>
      <c r="H7" s="1237"/>
      <c r="I7" s="1237"/>
      <c r="J7" s="1237"/>
    </row>
    <row r="8" spans="1:10" ht="17.25" customHeight="1" thickBot="1">
      <c r="B8" s="245"/>
      <c r="C8" s="245"/>
      <c r="D8" s="245"/>
      <c r="E8" s="245"/>
      <c r="F8" s="245"/>
      <c r="G8" s="245"/>
      <c r="H8" s="245"/>
    </row>
    <row r="9" spans="1:10" ht="30" customHeight="1">
      <c r="B9" s="1295" t="s">
        <v>164</v>
      </c>
      <c r="C9" s="246"/>
      <c r="D9" s="246"/>
      <c r="E9" s="1298" t="s">
        <v>468</v>
      </c>
      <c r="F9" s="1298"/>
      <c r="G9" s="1298"/>
      <c r="H9" s="1298"/>
      <c r="I9" s="1298"/>
      <c r="J9" s="1333"/>
    </row>
    <row r="10" spans="1:10">
      <c r="B10" s="1296"/>
      <c r="C10" s="247"/>
      <c r="D10" s="247"/>
      <c r="E10" s="248" t="s">
        <v>165</v>
      </c>
      <c r="F10" s="247"/>
      <c r="G10" s="248" t="s">
        <v>166</v>
      </c>
      <c r="H10" s="247"/>
      <c r="I10" s="248" t="s">
        <v>167</v>
      </c>
      <c r="J10" s="250"/>
    </row>
    <row r="11" spans="1:10">
      <c r="B11" s="1296"/>
      <c r="C11" s="247"/>
      <c r="D11" s="247"/>
      <c r="E11" s="313" t="s">
        <v>168</v>
      </c>
      <c r="F11" s="313" t="s">
        <v>169</v>
      </c>
      <c r="G11" s="313" t="s">
        <v>168</v>
      </c>
      <c r="H11" s="313" t="s">
        <v>169</v>
      </c>
      <c r="I11" s="313" t="s">
        <v>168</v>
      </c>
      <c r="J11" s="314" t="s">
        <v>169</v>
      </c>
    </row>
    <row r="12" spans="1:10" ht="13.5" thickBot="1">
      <c r="B12" s="1297"/>
      <c r="C12" s="252"/>
      <c r="D12" s="252"/>
      <c r="E12" s="253" t="s">
        <v>170</v>
      </c>
      <c r="F12" s="253" t="s">
        <v>171</v>
      </c>
      <c r="G12" s="253" t="s">
        <v>170</v>
      </c>
      <c r="H12" s="253" t="s">
        <v>171</v>
      </c>
      <c r="I12" s="253" t="s">
        <v>170</v>
      </c>
      <c r="J12" s="254" t="s">
        <v>171</v>
      </c>
    </row>
    <row r="13" spans="1:10">
      <c r="B13" s="315"/>
      <c r="C13" s="247"/>
      <c r="D13" s="247"/>
      <c r="E13" s="316"/>
      <c r="F13" s="316"/>
      <c r="G13" s="316"/>
      <c r="H13" s="316"/>
      <c r="I13" s="316"/>
      <c r="J13" s="316"/>
    </row>
    <row r="14" spans="1:10">
      <c r="B14" s="315"/>
      <c r="C14" s="247"/>
      <c r="D14" s="247"/>
      <c r="E14" s="316"/>
      <c r="F14" s="316"/>
      <c r="G14" s="316"/>
      <c r="H14" s="316"/>
      <c r="I14" s="316"/>
      <c r="J14" s="316"/>
    </row>
    <row r="15" spans="1:10">
      <c r="B15" s="753">
        <v>2004</v>
      </c>
      <c r="F15" s="255"/>
      <c r="H15" s="255"/>
      <c r="J15" s="255"/>
    </row>
    <row r="16" spans="1:10">
      <c r="B16" s="753">
        <v>2005</v>
      </c>
      <c r="C16" s="1327" t="s">
        <v>172</v>
      </c>
      <c r="E16" s="256">
        <f>'[4]2001-2011 Contraloría Historico'!H16</f>
        <v>1026.9000000000001</v>
      </c>
      <c r="F16" s="255"/>
      <c r="G16" s="256">
        <f t="shared" ref="G16:G21" si="0">E16</f>
        <v>1026.9000000000001</v>
      </c>
      <c r="H16" s="255"/>
      <c r="I16" s="256">
        <f t="shared" ref="I16:I21" si="1">E16</f>
        <v>1026.9000000000001</v>
      </c>
      <c r="J16" s="255"/>
    </row>
    <row r="17" spans="2:10">
      <c r="B17" s="754">
        <v>2006</v>
      </c>
      <c r="C17" s="1327"/>
      <c r="D17" s="995"/>
      <c r="E17" s="256">
        <f>'[4]2001-2011 Contraloría Historico'!I16</f>
        <v>1066.7</v>
      </c>
      <c r="F17" s="317">
        <f t="shared" ref="F17:F23" si="2">E17/E16-1</f>
        <v>3.875742526049275E-2</v>
      </c>
      <c r="G17" s="256">
        <f t="shared" si="0"/>
        <v>1066.7</v>
      </c>
      <c r="H17" s="317">
        <f t="shared" ref="H17:H23" si="3">G17/G16-1</f>
        <v>3.875742526049275E-2</v>
      </c>
      <c r="I17" s="256">
        <f t="shared" si="1"/>
        <v>1066.7</v>
      </c>
      <c r="J17" s="317">
        <f t="shared" ref="J17:J23" si="4">I17/I16-1</f>
        <v>3.875742526049275E-2</v>
      </c>
    </row>
    <row r="18" spans="2:10">
      <c r="B18" s="754">
        <v>2007</v>
      </c>
      <c r="C18" s="1327"/>
      <c r="D18" s="995"/>
      <c r="E18" s="256">
        <f>'[4]2001-2011 Contraloría Historico'!J16</f>
        <v>1126.7</v>
      </c>
      <c r="F18" s="317">
        <f t="shared" si="2"/>
        <v>5.6248242242429969E-2</v>
      </c>
      <c r="G18" s="256">
        <f t="shared" si="0"/>
        <v>1126.7</v>
      </c>
      <c r="H18" s="317">
        <f t="shared" si="3"/>
        <v>5.6248242242429969E-2</v>
      </c>
      <c r="I18" s="256">
        <f t="shared" si="1"/>
        <v>1126.7</v>
      </c>
      <c r="J18" s="317">
        <f t="shared" si="4"/>
        <v>5.6248242242429969E-2</v>
      </c>
    </row>
    <row r="19" spans="2:10">
      <c r="B19" s="754">
        <f t="shared" ref="B19:B38" si="5">B18+1</f>
        <v>2008</v>
      </c>
      <c r="C19" s="1327"/>
      <c r="D19" s="995"/>
      <c r="E19" s="256">
        <f>'[4]2001-2011 Contraloría Historico'!K16</f>
        <v>1170.9014000000002</v>
      </c>
      <c r="F19" s="317">
        <f t="shared" si="2"/>
        <v>3.923085115824998E-2</v>
      </c>
      <c r="G19" s="256">
        <f t="shared" si="0"/>
        <v>1170.9014000000002</v>
      </c>
      <c r="H19" s="317">
        <f t="shared" si="3"/>
        <v>3.923085115824998E-2</v>
      </c>
      <c r="I19" s="256">
        <f t="shared" si="1"/>
        <v>1170.9014000000002</v>
      </c>
      <c r="J19" s="317">
        <f t="shared" si="4"/>
        <v>3.923085115824998E-2</v>
      </c>
    </row>
    <row r="20" spans="2:10">
      <c r="B20" s="754">
        <f t="shared" si="5"/>
        <v>2009</v>
      </c>
      <c r="C20" s="1327"/>
      <c r="D20" s="755"/>
      <c r="E20" s="256">
        <f>'[4]2001-2011 Contraloría Historico'!L16</f>
        <v>1163.9000000000001</v>
      </c>
      <c r="F20" s="317">
        <f t="shared" si="2"/>
        <v>-5.9794957969988571E-3</v>
      </c>
      <c r="G20" s="256">
        <f t="shared" si="0"/>
        <v>1163.9000000000001</v>
      </c>
      <c r="H20" s="317">
        <f t="shared" si="3"/>
        <v>-5.9794957969988571E-3</v>
      </c>
      <c r="I20" s="256">
        <f t="shared" si="1"/>
        <v>1163.9000000000001</v>
      </c>
      <c r="J20" s="317">
        <f t="shared" si="4"/>
        <v>-5.9794957969988571E-3</v>
      </c>
    </row>
    <row r="21" spans="2:10">
      <c r="B21" s="754">
        <f t="shared" si="5"/>
        <v>2010</v>
      </c>
      <c r="C21" s="1328"/>
      <c r="D21" s="1128"/>
      <c r="E21" s="1129">
        <f>'[4]2001-2011 Contraloría Historico'!M16</f>
        <v>1176.7</v>
      </c>
      <c r="F21" s="1130">
        <f t="shared" si="2"/>
        <v>1.0997508377008192E-2</v>
      </c>
      <c r="G21" s="1129">
        <f t="shared" si="0"/>
        <v>1176.7</v>
      </c>
      <c r="H21" s="1130">
        <f t="shared" si="3"/>
        <v>1.0997508377008192E-2</v>
      </c>
      <c r="I21" s="1129">
        <f t="shared" si="1"/>
        <v>1176.7</v>
      </c>
      <c r="J21" s="1130">
        <f t="shared" si="4"/>
        <v>1.0997508377008192E-2</v>
      </c>
    </row>
    <row r="22" spans="2:10">
      <c r="B22" s="1131">
        <f t="shared" si="5"/>
        <v>2011</v>
      </c>
      <c r="C22" s="1132" t="s">
        <v>260</v>
      </c>
      <c r="D22" s="1133"/>
      <c r="E22" s="1134">
        <f>'[4]2001-2011 Contraloría Historico'!N16</f>
        <v>1214.7</v>
      </c>
      <c r="F22" s="1135">
        <f>E22/E21-1</f>
        <v>3.2293702727967943E-2</v>
      </c>
      <c r="G22" s="1136">
        <f>E22</f>
        <v>1214.7</v>
      </c>
      <c r="H22" s="1135">
        <f t="shared" si="3"/>
        <v>3.2293702727967943E-2</v>
      </c>
      <c r="I22" s="1136">
        <f>E22</f>
        <v>1214.7</v>
      </c>
      <c r="J22" s="1135">
        <f t="shared" si="4"/>
        <v>3.2293702727967943E-2</v>
      </c>
    </row>
    <row r="23" spans="2:10" ht="12.75" customHeight="1">
      <c r="B23" s="1137">
        <f t="shared" si="5"/>
        <v>2012</v>
      </c>
      <c r="C23" s="1329" t="s">
        <v>261</v>
      </c>
      <c r="D23" s="994"/>
      <c r="E23" s="1138">
        <f>'[4]PIB Estructural 2013 Est. 2T'!G17</f>
        <v>1255.6281346565049</v>
      </c>
      <c r="F23" s="1139">
        <f t="shared" si="2"/>
        <v>3.3694027049069541E-2</v>
      </c>
      <c r="G23" s="1138">
        <f>E23</f>
        <v>1255.6281346565049</v>
      </c>
      <c r="H23" s="1139">
        <f t="shared" si="3"/>
        <v>3.3694027049069541E-2</v>
      </c>
      <c r="I23" s="1138">
        <f>E23</f>
        <v>1255.6281346565049</v>
      </c>
      <c r="J23" s="1139">
        <f t="shared" si="4"/>
        <v>3.3694027049069541E-2</v>
      </c>
    </row>
    <row r="24" spans="2:10" ht="12.75" customHeight="1">
      <c r="B24" s="745">
        <f t="shared" si="5"/>
        <v>2013</v>
      </c>
      <c r="C24" s="1330"/>
      <c r="D24" s="259"/>
      <c r="E24" s="756">
        <f>'[4]PIB Estructural 2013 Est. 2T'!N17</f>
        <v>1276.9694534230346</v>
      </c>
      <c r="F24" s="747">
        <f>'[4]Impacto Sector Sec al PIB '!U24</f>
        <v>-2.7700831024930483E-3</v>
      </c>
      <c r="G24" s="756">
        <f>'[4]PIB Estructural 2013 Est. 2T'!K17</f>
        <v>1296.177016373975</v>
      </c>
      <c r="H24" s="747">
        <f>'[4]Impacto Sector Sec al PIB '!X24</f>
        <v>1.1556240369799742E-2</v>
      </c>
      <c r="I24" s="756">
        <f>'[4]PIB Estructural 2013 Est. 2T'!Q17</f>
        <v>1248.1216038318439</v>
      </c>
      <c r="J24" s="747">
        <f>'[4]Impacto Sector Sec al PIB '!AA24</f>
        <v>2.8901734104047616E-3</v>
      </c>
    </row>
    <row r="25" spans="2:10" ht="14.25" customHeight="1">
      <c r="B25" s="247">
        <f t="shared" si="5"/>
        <v>2014</v>
      </c>
      <c r="C25" s="1331" t="s">
        <v>174</v>
      </c>
      <c r="D25" s="994"/>
      <c r="E25" s="295">
        <f t="shared" ref="E25:E37" si="6">E24*(1+F25)</f>
        <v>1327.1361105217964</v>
      </c>
      <c r="F25" s="261">
        <f>'[4]Impacto Sector Sec al PIB '!U25</f>
        <v>3.9285714285714146E-2</v>
      </c>
      <c r="G25" s="295">
        <f t="shared" ref="G25:G38" si="7">G24*(1+H25)</f>
        <v>1357.8762269782196</v>
      </c>
      <c r="H25" s="261">
        <f>'[4]Impacto Sector Sec al PIB '!X25</f>
        <v>4.7600913937547507E-2</v>
      </c>
      <c r="I25" s="295">
        <f t="shared" ref="I25:I38" si="8">I24*(1+J25)</f>
        <v>1295.395044569814</v>
      </c>
      <c r="J25" s="261">
        <f>'[4]Impacto Sector Sec al PIB '!AA25</f>
        <v>3.7875668999588274E-2</v>
      </c>
    </row>
    <row r="26" spans="2:10">
      <c r="B26" s="247">
        <f t="shared" si="5"/>
        <v>2015</v>
      </c>
      <c r="C26" s="1331"/>
      <c r="D26" s="994"/>
      <c r="E26" s="295">
        <f t="shared" si="6"/>
        <v>1432.0300299101173</v>
      </c>
      <c r="F26" s="1097">
        <f>'[4]Impacto Sector Sec al PIB '!U26</f>
        <v>7.9037800687285387E-2</v>
      </c>
      <c r="G26" s="295">
        <f t="shared" si="7"/>
        <v>1486.7041787198825</v>
      </c>
      <c r="H26" s="1097">
        <f>'[4]Impacto Sector Sec al PIB '!X26</f>
        <v>9.4874591057797053E-2</v>
      </c>
      <c r="I26" s="295">
        <f t="shared" si="8"/>
        <v>1382.7481415856287</v>
      </c>
      <c r="J26" s="1097">
        <f>'[4]Impacto Sector Sec al PIB '!AA26</f>
        <v>6.7433558111860581E-2</v>
      </c>
    </row>
    <row r="27" spans="2:10">
      <c r="B27" s="757">
        <f t="shared" si="5"/>
        <v>2016</v>
      </c>
      <c r="C27" s="1331"/>
      <c r="D27" s="758"/>
      <c r="E27" s="759">
        <f t="shared" si="6"/>
        <v>1478.6495496382599</v>
      </c>
      <c r="F27" s="760">
        <f>'[4]Impacto Sector Sec al PIB '!U27</f>
        <v>3.2554847841472112E-2</v>
      </c>
      <c r="G27" s="759">
        <f t="shared" si="7"/>
        <v>1558.2752630208065</v>
      </c>
      <c r="H27" s="760">
        <f>'[4]Impacto Sector Sec al PIB '!X27</f>
        <v>4.8140770252323994E-2</v>
      </c>
      <c r="I27" s="759">
        <f t="shared" si="8"/>
        <v>1414.0924881618914</v>
      </c>
      <c r="J27" s="760">
        <f>'[4]Impacto Sector Sec al PIB '!AA27</f>
        <v>2.2668153102935573E-2</v>
      </c>
    </row>
    <row r="28" spans="2:10">
      <c r="B28" s="238">
        <f t="shared" si="5"/>
        <v>2017</v>
      </c>
      <c r="C28" s="1331"/>
      <c r="D28" s="986"/>
      <c r="E28" s="260">
        <f t="shared" si="6"/>
        <v>1533.3768119278186</v>
      </c>
      <c r="F28" s="261">
        <f>'[4]Impacto Sector Sec al PIB '!U28</f>
        <v>3.7011651816312607E-2</v>
      </c>
      <c r="G28" s="260">
        <f t="shared" si="7"/>
        <v>1629.8463473217305</v>
      </c>
      <c r="H28" s="261">
        <f>'[4]Impacto Sector Sec al PIB '!X28</f>
        <v>4.5929680076021606E-2</v>
      </c>
      <c r="I28" s="260">
        <f t="shared" si="8"/>
        <v>1458.7967201641022</v>
      </c>
      <c r="J28" s="261">
        <f>'[4]Impacto Sector Sec al PIB '!AA28</f>
        <v>3.1613372093023173E-2</v>
      </c>
    </row>
    <row r="29" spans="2:10">
      <c r="B29" s="238">
        <f t="shared" si="5"/>
        <v>2018</v>
      </c>
      <c r="C29" s="1331"/>
      <c r="D29" s="986"/>
      <c r="E29" s="260">
        <f t="shared" si="6"/>
        <v>1597.2252845989703</v>
      </c>
      <c r="F29" s="261">
        <f>'[4]Impacto Sector Sec al PIB '!U29</f>
        <v>4.1639127561136746E-2</v>
      </c>
      <c r="G29" s="260">
        <f t="shared" si="7"/>
        <v>1712.2764926890015</v>
      </c>
      <c r="H29" s="261">
        <f>'[4]Impacto Sector Sec al PIB '!X29</f>
        <v>5.0575408843125391E-2</v>
      </c>
      <c r="I29" s="260">
        <f t="shared" si="8"/>
        <v>1510.6947366264392</v>
      </c>
      <c r="J29" s="261">
        <f>'[4]Impacto Sector Sec al PIB '!AA29</f>
        <v>3.5575907009510521E-2</v>
      </c>
    </row>
    <row r="30" spans="2:10">
      <c r="B30" s="238">
        <f t="shared" si="5"/>
        <v>2019</v>
      </c>
      <c r="C30" s="1331"/>
      <c r="D30" s="986"/>
      <c r="E30" s="260">
        <f t="shared" si="6"/>
        <v>1658.5400877196796</v>
      </c>
      <c r="F30" s="261">
        <f>'[4]Impacto Sector Sec al PIB '!U30</f>
        <v>3.8388324873096513E-2</v>
      </c>
      <c r="G30" s="260">
        <f t="shared" si="7"/>
        <v>1794.7066380562726</v>
      </c>
      <c r="H30" s="261">
        <f>'[4]Impacto Sector Sec al PIB '!X30</f>
        <v>4.8140674545978701E-2</v>
      </c>
      <c r="I30" s="260">
        <f t="shared" si="8"/>
        <v>1560.0235443530171</v>
      </c>
      <c r="J30" s="261">
        <f>'[4]Impacto Sector Sec al PIB '!AA30</f>
        <v>3.2653061224489965E-2</v>
      </c>
    </row>
    <row r="31" spans="2:10">
      <c r="B31" s="238">
        <f t="shared" si="5"/>
        <v>2020</v>
      </c>
      <c r="C31" s="1331"/>
      <c r="D31" s="986"/>
      <c r="E31" s="260">
        <f t="shared" si="6"/>
        <v>1727.9626334018049</v>
      </c>
      <c r="F31" s="261">
        <f>'[4]Impacto Sector Sec al PIB '!U31</f>
        <v>4.1857622975863151E-2</v>
      </c>
      <c r="G31" s="260">
        <f t="shared" si="7"/>
        <v>1884.0470950112187</v>
      </c>
      <c r="H31" s="261">
        <f>'[4]Impacto Sector Sec al PIB '!X31</f>
        <v>4.9779977997799651E-2</v>
      </c>
      <c r="I31" s="260">
        <f t="shared" si="8"/>
        <v>1616.5461365397205</v>
      </c>
      <c r="J31" s="261">
        <f>'[4]Impacto Sector Sec al PIB '!AA31</f>
        <v>3.6231884057970953E-2</v>
      </c>
    </row>
    <row r="32" spans="2:10">
      <c r="B32" s="238">
        <f t="shared" si="5"/>
        <v>2021</v>
      </c>
      <c r="C32" s="1331"/>
      <c r="D32" s="986"/>
      <c r="E32" s="260">
        <f t="shared" si="6"/>
        <v>1791.8111060729568</v>
      </c>
      <c r="F32" s="261">
        <f>'[4]Impacto Sector Sec al PIB '!U32</f>
        <v>3.6950146627566127E-2</v>
      </c>
      <c r="G32" s="260">
        <f t="shared" si="7"/>
        <v>1970.4259898571613</v>
      </c>
      <c r="H32" s="261">
        <f>'[4]Impacto Sector Sec al PIB '!X32</f>
        <v>4.5847524233691317E-2</v>
      </c>
      <c r="I32" s="260">
        <f t="shared" si="8"/>
        <v>1666.9026277606013</v>
      </c>
      <c r="J32" s="261">
        <f>'[4]Impacto Sector Sec al PIB '!AA32</f>
        <v>3.115066751430362E-2</v>
      </c>
    </row>
    <row r="33" spans="2:10">
      <c r="B33" s="238">
        <f t="shared" si="5"/>
        <v>2022</v>
      </c>
      <c r="C33" s="1331"/>
      <c r="D33" s="986"/>
      <c r="E33" s="260">
        <f t="shared" si="6"/>
        <v>1853.1259091936658</v>
      </c>
      <c r="F33" s="261">
        <f>'[4]Impacto Sector Sec al PIB '!U33</f>
        <v>3.4219457013574539E-2</v>
      </c>
      <c r="G33" s="260">
        <f t="shared" si="7"/>
        <v>2066.1831647149497</v>
      </c>
      <c r="H33" s="261">
        <f>'[4]Impacto Sector Sec al PIB '!X33</f>
        <v>4.8597194388777742E-2</v>
      </c>
      <c r="I33" s="260">
        <f t="shared" si="8"/>
        <v>1715.717593740027</v>
      </c>
      <c r="J33" s="261">
        <f>'[4]Impacto Sector Sec al PIB '!AA33</f>
        <v>2.9284833538840926E-2</v>
      </c>
    </row>
    <row r="34" spans="2:10">
      <c r="B34" s="238">
        <f t="shared" si="5"/>
        <v>2023</v>
      </c>
      <c r="C34" s="1331"/>
      <c r="D34" s="986"/>
      <c r="E34" s="260">
        <f t="shared" si="6"/>
        <v>1909.3733732134899</v>
      </c>
      <c r="F34" s="261">
        <f>'[4]Impacto Sector Sec al PIB '!U34</f>
        <v>3.0352748154224729E-2</v>
      </c>
      <c r="G34" s="260">
        <f t="shared" si="7"/>
        <v>2163.4211206272394</v>
      </c>
      <c r="H34" s="261">
        <f>'[4]Impacto Sector Sec al PIB '!X34</f>
        <v>4.7061634018155774E-2</v>
      </c>
      <c r="I34" s="260">
        <f t="shared" si="8"/>
        <v>1759.3941422479345</v>
      </c>
      <c r="J34" s="261">
        <f>'[4]Impacto Sector Sec al PIB '!AA34</f>
        <v>2.5456723569931228E-2</v>
      </c>
    </row>
    <row r="35" spans="2:10">
      <c r="B35" s="238">
        <f t="shared" si="5"/>
        <v>2024</v>
      </c>
      <c r="C35" s="1331"/>
      <c r="D35" s="986"/>
      <c r="E35" s="260">
        <f t="shared" si="6"/>
        <v>2008.6932195908369</v>
      </c>
      <c r="F35" s="261">
        <f>'[4]Impacto Sector Sec al PIB '!U35</f>
        <v>5.2016985138004124E-2</v>
      </c>
      <c r="G35" s="260">
        <f t="shared" si="7"/>
        <v>2283.3643860418911</v>
      </c>
      <c r="H35" s="261">
        <f>'[4]Impacto Sector Sec al PIB '!X35</f>
        <v>5.544147843942504E-2</v>
      </c>
      <c r="I35" s="260">
        <f t="shared" si="8"/>
        <v>1838.5257713093197</v>
      </c>
      <c r="J35" s="261">
        <f>'[4]Impacto Sector Sec al PIB '!AA35</f>
        <v>4.497663551401887E-2</v>
      </c>
    </row>
    <row r="36" spans="2:10">
      <c r="B36" s="238">
        <f t="shared" si="5"/>
        <v>2025</v>
      </c>
      <c r="C36" s="1331"/>
      <c r="D36" s="986"/>
      <c r="E36" s="260">
        <f t="shared" si="6"/>
        <v>2077.6090313628733</v>
      </c>
      <c r="F36" s="261">
        <f>'[4]Impacto Sector Sec al PIB '!U36</f>
        <v>3.4308779011099855E-2</v>
      </c>
      <c r="G36" s="260">
        <f t="shared" si="7"/>
        <v>2382.5767166935161</v>
      </c>
      <c r="H36" s="261">
        <f>'[4]Impacto Sector Sec al PIB '!X36</f>
        <v>4.3450064850842907E-2</v>
      </c>
      <c r="I36" s="260">
        <f t="shared" si="8"/>
        <v>1889.3961042773528</v>
      </c>
      <c r="J36" s="261">
        <f>'[4]Impacto Sector Sec al PIB '!AA36</f>
        <v>2.766908887646724E-2</v>
      </c>
    </row>
    <row r="37" spans="2:10">
      <c r="B37" s="238">
        <f t="shared" si="5"/>
        <v>2026</v>
      </c>
      <c r="C37" s="1331"/>
      <c r="D37" s="986"/>
      <c r="E37" s="260">
        <f t="shared" si="6"/>
        <v>2155.6076691645821</v>
      </c>
      <c r="F37" s="261">
        <f>'[4]Impacto Sector Sec al PIB '!U37</f>
        <v>3.7542500357029773E-2</v>
      </c>
      <c r="G37" s="260">
        <f t="shared" si="7"/>
        <v>2497.1114221078928</v>
      </c>
      <c r="H37" s="261">
        <f>'[4]Impacto Sector Sec al PIB '!X37</f>
        <v>4.8071780695198463E-2</v>
      </c>
      <c r="I37" s="260">
        <f t="shared" si="8"/>
        <v>1949.2610187461432</v>
      </c>
      <c r="J37" s="261">
        <f>'[4]Impacto Sector Sec al PIB '!AA37</f>
        <v>3.1684681858538788E-2</v>
      </c>
    </row>
    <row r="38" spans="2:10">
      <c r="B38" s="238">
        <f t="shared" si="5"/>
        <v>2027</v>
      </c>
      <c r="C38" s="1331"/>
      <c r="D38" s="986"/>
      <c r="E38" s="260">
        <f>E37*(1+F38)</f>
        <v>2236.5345708538098</v>
      </c>
      <c r="F38" s="261">
        <f>'[4]Impacto Sector Sec al PIB '!U38</f>
        <v>3.7542500357029773E-2</v>
      </c>
      <c r="G38" s="260">
        <f t="shared" si="7"/>
        <v>2617.1520147629385</v>
      </c>
      <c r="H38" s="261">
        <f>'[4]Impacto Sector Sec al PIB '!X38</f>
        <v>4.8071780695198463E-2</v>
      </c>
      <c r="I38" s="260">
        <f t="shared" si="8"/>
        <v>2011.0227339843659</v>
      </c>
      <c r="J38" s="261">
        <f>'[4]Impacto Sector Sec al PIB '!AA38</f>
        <v>3.1684681858538788E-2</v>
      </c>
    </row>
    <row r="39" spans="2:10">
      <c r="B39" s="708"/>
      <c r="C39" s="1140"/>
      <c r="D39" s="708"/>
      <c r="E39" s="709"/>
      <c r="F39" s="712"/>
      <c r="G39" s="709"/>
      <c r="H39" s="711"/>
      <c r="I39" s="708"/>
      <c r="J39" s="708"/>
    </row>
    <row r="40" spans="2:10">
      <c r="E40" s="260"/>
      <c r="F40" s="265"/>
      <c r="G40" s="260"/>
      <c r="H40" s="264"/>
    </row>
    <row r="41" spans="2:10" ht="15.75">
      <c r="B41" s="266" t="s">
        <v>175</v>
      </c>
    </row>
    <row r="42" spans="2:10" ht="5.25" customHeight="1">
      <c r="B42" s="266"/>
    </row>
    <row r="43" spans="2:10">
      <c r="B43" s="267" t="s">
        <v>176</v>
      </c>
      <c r="C43" s="988" t="s">
        <v>177</v>
      </c>
      <c r="D43" s="988" t="s">
        <v>178</v>
      </c>
    </row>
    <row r="44" spans="2:10">
      <c r="B44" s="268" t="s">
        <v>179</v>
      </c>
      <c r="C44" s="269">
        <f>B34-B15</f>
        <v>19</v>
      </c>
      <c r="D44" s="270" t="s">
        <v>333</v>
      </c>
      <c r="E44" s="265"/>
      <c r="F44" s="271">
        <f>AVERAGE(F17:F36)</f>
        <v>3.5004769195053825E-2</v>
      </c>
      <c r="G44" s="265"/>
      <c r="H44" s="271">
        <f>AVERAGE(H17:H36)</f>
        <v>4.2111920701475299E-2</v>
      </c>
      <c r="J44" s="271">
        <f>AVERAGE(J17:J36)</f>
        <v>3.1536099402078258E-2</v>
      </c>
    </row>
    <row r="45" spans="2:10" ht="6" customHeight="1">
      <c r="B45" s="240"/>
      <c r="C45" s="269"/>
      <c r="E45" s="265"/>
      <c r="F45" s="271"/>
      <c r="G45" s="265"/>
      <c r="H45" s="271"/>
      <c r="J45" s="271"/>
    </row>
    <row r="46" spans="2:10">
      <c r="B46" s="240" t="s">
        <v>180</v>
      </c>
      <c r="C46" s="269">
        <v>3</v>
      </c>
      <c r="D46" s="273" t="s">
        <v>196</v>
      </c>
      <c r="E46" s="265"/>
      <c r="F46" s="271">
        <f>RATE($B20-$B16,,-E16,E20)</f>
        <v>3.1803219331982525E-2</v>
      </c>
      <c r="G46" s="265"/>
      <c r="H46" s="271">
        <f>RATE($B20-$B16,,-G16,G20)</f>
        <v>3.1803219331982525E-2</v>
      </c>
      <c r="J46" s="271">
        <f>RATE($B20-$B16,,-I16,I20)</f>
        <v>3.1803219331982525E-2</v>
      </c>
    </row>
    <row r="47" spans="2:10">
      <c r="B47" s="240" t="s">
        <v>181</v>
      </c>
      <c r="C47" s="269">
        <f>B34-B19</f>
        <v>15</v>
      </c>
      <c r="D47" s="273" t="s">
        <v>328</v>
      </c>
      <c r="F47" s="271">
        <f>RATE($B38-$B23,,-E23,E38)</f>
        <v>3.9236293145462009E-2</v>
      </c>
      <c r="H47" s="271">
        <f>RATE($B38-$B23,,-G23,G38)</f>
        <v>5.0181896310649517E-2</v>
      </c>
      <c r="J47" s="271">
        <f>RATE($B38-$B23,,-I23,I38)</f>
        <v>3.1898693985150425E-2</v>
      </c>
    </row>
    <row r="48" spans="2:10">
      <c r="B48" s="240" t="s">
        <v>182</v>
      </c>
      <c r="C48" s="269">
        <f>B23-B19</f>
        <v>4</v>
      </c>
      <c r="D48" s="273" t="s">
        <v>671</v>
      </c>
      <c r="F48" s="271">
        <f>RATE($B27-$B23,,-E23,E27)</f>
        <v>4.1720124707228898E-2</v>
      </c>
      <c r="H48" s="271">
        <f>RATE($B27-$B23,,-G23,G27)</f>
        <v>5.5469734685635118E-2</v>
      </c>
      <c r="J48" s="271">
        <f>RATE($B27-$B23,,-I23,I27)</f>
        <v>3.0158841382513232E-2</v>
      </c>
    </row>
    <row r="49" spans="2:10">
      <c r="B49" s="240" t="s">
        <v>183</v>
      </c>
      <c r="C49" s="269">
        <f>B29-B23</f>
        <v>6</v>
      </c>
      <c r="D49" s="273" t="s">
        <v>330</v>
      </c>
      <c r="F49" s="271">
        <f>RATE($B33-$B28,,-E28,E33)</f>
        <v>3.860690913537379E-2</v>
      </c>
      <c r="H49" s="271">
        <f>RATE($B33-$B28,,-G28,G33)</f>
        <v>4.8586907837710136E-2</v>
      </c>
      <c r="J49" s="271">
        <f>RATE($B33-$B28,,-I28,I33)</f>
        <v>3.2975938153975697E-2</v>
      </c>
    </row>
    <row r="50" spans="2:10">
      <c r="B50" s="240" t="s">
        <v>184</v>
      </c>
      <c r="C50" s="269">
        <f>B34-B29</f>
        <v>5</v>
      </c>
      <c r="D50" s="273" t="s">
        <v>459</v>
      </c>
      <c r="F50" s="271">
        <f>RATE($B38-$B34,,-E34,E38)</f>
        <v>4.0330158105743773E-2</v>
      </c>
      <c r="H50" s="271">
        <f>RATE($B38-$B34,,-G34,G38)</f>
        <v>4.8749992976188192E-2</v>
      </c>
      <c r="J50" s="271">
        <f>RATE($B38-$B34,,-I34,I38)</f>
        <v>3.3983145619358668E-2</v>
      </c>
    </row>
    <row r="54" spans="2:10">
      <c r="B54" s="238" t="s">
        <v>185</v>
      </c>
      <c r="C54" s="274" t="s">
        <v>650</v>
      </c>
    </row>
    <row r="55" spans="2:10">
      <c r="C55" s="274" t="s">
        <v>651</v>
      </c>
    </row>
    <row r="56" spans="2:10">
      <c r="C56" s="239" t="s">
        <v>462</v>
      </c>
    </row>
    <row r="57" spans="2:10">
      <c r="C57" s="318" t="s">
        <v>463</v>
      </c>
    </row>
    <row r="58" spans="2:10">
      <c r="C58" s="274" t="s">
        <v>652</v>
      </c>
    </row>
    <row r="59" spans="2:10">
      <c r="C59" s="274" t="s">
        <v>653</v>
      </c>
    </row>
    <row r="60" spans="2:10">
      <c r="C60" s="274" t="s">
        <v>654</v>
      </c>
    </row>
    <row r="61" spans="2:10">
      <c r="C61" s="274" t="s">
        <v>655</v>
      </c>
    </row>
    <row r="62" spans="2:10">
      <c r="C62" s="239" t="s">
        <v>440</v>
      </c>
    </row>
    <row r="64" spans="2:10">
      <c r="B64" s="238" t="s">
        <v>186</v>
      </c>
      <c r="C64" s="238" t="s">
        <v>187</v>
      </c>
    </row>
    <row r="65" spans="3:3">
      <c r="C65" s="238" t="s">
        <v>188</v>
      </c>
    </row>
  </sheetData>
  <mergeCells count="9">
    <mergeCell ref="C16:C21"/>
    <mergeCell ref="C23:C24"/>
    <mergeCell ref="C25:C38"/>
    <mergeCell ref="B3:J4"/>
    <mergeCell ref="B5:J5"/>
    <mergeCell ref="B6:J6"/>
    <mergeCell ref="B7:J7"/>
    <mergeCell ref="B9:B12"/>
    <mergeCell ref="E9:J9"/>
  </mergeCells>
  <printOptions horizontalCentered="1"/>
  <pageMargins left="0.39370078740157483" right="0.39370078740157483" top="0.98425196850393704" bottom="0.98425196850393704" header="0.59055118110236227" footer="0.59055118110236227"/>
  <pageSetup scale="78" orientation="portrait" r:id="rId1"/>
  <headerFooter alignWithMargins="0">
    <oddFooter>&amp;L&amp;8ESTUDIO  BASICO DE LA DEMANDA 2008-2022&amp;R&amp;8&amp;F/ &amp;A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69"/>
  <sheetViews>
    <sheetView topLeftCell="A13" workbookViewId="0">
      <selection activeCell="E42" sqref="E42"/>
    </sheetView>
  </sheetViews>
  <sheetFormatPr baseColWidth="10" defaultRowHeight="12.75"/>
  <cols>
    <col min="1" max="1" width="6.28515625" style="238" customWidth="1"/>
    <col min="2" max="2" width="11.7109375" style="238" customWidth="1"/>
    <col min="3" max="3" width="9.85546875" style="238" customWidth="1"/>
    <col min="4" max="4" width="12.42578125" style="238" customWidth="1"/>
    <col min="5" max="5" width="13.28515625" style="238" customWidth="1"/>
    <col min="6" max="6" width="12.42578125" style="238" customWidth="1"/>
    <col min="7" max="7" width="11.85546875" style="238" customWidth="1"/>
    <col min="8" max="10" width="11.42578125" style="238"/>
    <col min="11" max="11" width="6.7109375" style="238" customWidth="1"/>
    <col min="12" max="256" width="11.42578125" style="238"/>
    <col min="257" max="257" width="6.28515625" style="238" customWidth="1"/>
    <col min="258" max="258" width="11.7109375" style="238" customWidth="1"/>
    <col min="259" max="259" width="9.85546875" style="238" customWidth="1"/>
    <col min="260" max="260" width="12.42578125" style="238" customWidth="1"/>
    <col min="261" max="261" width="13.28515625" style="238" customWidth="1"/>
    <col min="262" max="262" width="12.42578125" style="238" customWidth="1"/>
    <col min="263" max="263" width="11.85546875" style="238" customWidth="1"/>
    <col min="264" max="266" width="11.42578125" style="238"/>
    <col min="267" max="267" width="6.7109375" style="238" customWidth="1"/>
    <col min="268" max="512" width="11.42578125" style="238"/>
    <col min="513" max="513" width="6.28515625" style="238" customWidth="1"/>
    <col min="514" max="514" width="11.7109375" style="238" customWidth="1"/>
    <col min="515" max="515" width="9.85546875" style="238" customWidth="1"/>
    <col min="516" max="516" width="12.42578125" style="238" customWidth="1"/>
    <col min="517" max="517" width="13.28515625" style="238" customWidth="1"/>
    <col min="518" max="518" width="12.42578125" style="238" customWidth="1"/>
    <col min="519" max="519" width="11.85546875" style="238" customWidth="1"/>
    <col min="520" max="522" width="11.42578125" style="238"/>
    <col min="523" max="523" width="6.7109375" style="238" customWidth="1"/>
    <col min="524" max="768" width="11.42578125" style="238"/>
    <col min="769" max="769" width="6.28515625" style="238" customWidth="1"/>
    <col min="770" max="770" width="11.7109375" style="238" customWidth="1"/>
    <col min="771" max="771" width="9.85546875" style="238" customWidth="1"/>
    <col min="772" max="772" width="12.42578125" style="238" customWidth="1"/>
    <col min="773" max="773" width="13.28515625" style="238" customWidth="1"/>
    <col min="774" max="774" width="12.42578125" style="238" customWidth="1"/>
    <col min="775" max="775" width="11.85546875" style="238" customWidth="1"/>
    <col min="776" max="778" width="11.42578125" style="238"/>
    <col min="779" max="779" width="6.7109375" style="238" customWidth="1"/>
    <col min="780" max="1024" width="11.42578125" style="238"/>
    <col min="1025" max="1025" width="6.28515625" style="238" customWidth="1"/>
    <col min="1026" max="1026" width="11.7109375" style="238" customWidth="1"/>
    <col min="1027" max="1027" width="9.85546875" style="238" customWidth="1"/>
    <col min="1028" max="1028" width="12.42578125" style="238" customWidth="1"/>
    <col min="1029" max="1029" width="13.28515625" style="238" customWidth="1"/>
    <col min="1030" max="1030" width="12.42578125" style="238" customWidth="1"/>
    <col min="1031" max="1031" width="11.85546875" style="238" customWidth="1"/>
    <col min="1032" max="1034" width="11.42578125" style="238"/>
    <col min="1035" max="1035" width="6.7109375" style="238" customWidth="1"/>
    <col min="1036" max="1280" width="11.42578125" style="238"/>
    <col min="1281" max="1281" width="6.28515625" style="238" customWidth="1"/>
    <col min="1282" max="1282" width="11.7109375" style="238" customWidth="1"/>
    <col min="1283" max="1283" width="9.85546875" style="238" customWidth="1"/>
    <col min="1284" max="1284" width="12.42578125" style="238" customWidth="1"/>
    <col min="1285" max="1285" width="13.28515625" style="238" customWidth="1"/>
    <col min="1286" max="1286" width="12.42578125" style="238" customWidth="1"/>
    <col min="1287" max="1287" width="11.85546875" style="238" customWidth="1"/>
    <col min="1288" max="1290" width="11.42578125" style="238"/>
    <col min="1291" max="1291" width="6.7109375" style="238" customWidth="1"/>
    <col min="1292" max="1536" width="11.42578125" style="238"/>
    <col min="1537" max="1537" width="6.28515625" style="238" customWidth="1"/>
    <col min="1538" max="1538" width="11.7109375" style="238" customWidth="1"/>
    <col min="1539" max="1539" width="9.85546875" style="238" customWidth="1"/>
    <col min="1540" max="1540" width="12.42578125" style="238" customWidth="1"/>
    <col min="1541" max="1541" width="13.28515625" style="238" customWidth="1"/>
    <col min="1542" max="1542" width="12.42578125" style="238" customWidth="1"/>
    <col min="1543" max="1543" width="11.85546875" style="238" customWidth="1"/>
    <col min="1544" max="1546" width="11.42578125" style="238"/>
    <col min="1547" max="1547" width="6.7109375" style="238" customWidth="1"/>
    <col min="1548" max="1792" width="11.42578125" style="238"/>
    <col min="1793" max="1793" width="6.28515625" style="238" customWidth="1"/>
    <col min="1794" max="1794" width="11.7109375" style="238" customWidth="1"/>
    <col min="1795" max="1795" width="9.85546875" style="238" customWidth="1"/>
    <col min="1796" max="1796" width="12.42578125" style="238" customWidth="1"/>
    <col min="1797" max="1797" width="13.28515625" style="238" customWidth="1"/>
    <col min="1798" max="1798" width="12.42578125" style="238" customWidth="1"/>
    <col min="1799" max="1799" width="11.85546875" style="238" customWidth="1"/>
    <col min="1800" max="1802" width="11.42578125" style="238"/>
    <col min="1803" max="1803" width="6.7109375" style="238" customWidth="1"/>
    <col min="1804" max="2048" width="11.42578125" style="238"/>
    <col min="2049" max="2049" width="6.28515625" style="238" customWidth="1"/>
    <col min="2050" max="2050" width="11.7109375" style="238" customWidth="1"/>
    <col min="2051" max="2051" width="9.85546875" style="238" customWidth="1"/>
    <col min="2052" max="2052" width="12.42578125" style="238" customWidth="1"/>
    <col min="2053" max="2053" width="13.28515625" style="238" customWidth="1"/>
    <col min="2054" max="2054" width="12.42578125" style="238" customWidth="1"/>
    <col min="2055" max="2055" width="11.85546875" style="238" customWidth="1"/>
    <col min="2056" max="2058" width="11.42578125" style="238"/>
    <col min="2059" max="2059" width="6.7109375" style="238" customWidth="1"/>
    <col min="2060" max="2304" width="11.42578125" style="238"/>
    <col min="2305" max="2305" width="6.28515625" style="238" customWidth="1"/>
    <col min="2306" max="2306" width="11.7109375" style="238" customWidth="1"/>
    <col min="2307" max="2307" width="9.85546875" style="238" customWidth="1"/>
    <col min="2308" max="2308" width="12.42578125" style="238" customWidth="1"/>
    <col min="2309" max="2309" width="13.28515625" style="238" customWidth="1"/>
    <col min="2310" max="2310" width="12.42578125" style="238" customWidth="1"/>
    <col min="2311" max="2311" width="11.85546875" style="238" customWidth="1"/>
    <col min="2312" max="2314" width="11.42578125" style="238"/>
    <col min="2315" max="2315" width="6.7109375" style="238" customWidth="1"/>
    <col min="2316" max="2560" width="11.42578125" style="238"/>
    <col min="2561" max="2561" width="6.28515625" style="238" customWidth="1"/>
    <col min="2562" max="2562" width="11.7109375" style="238" customWidth="1"/>
    <col min="2563" max="2563" width="9.85546875" style="238" customWidth="1"/>
    <col min="2564" max="2564" width="12.42578125" style="238" customWidth="1"/>
    <col min="2565" max="2565" width="13.28515625" style="238" customWidth="1"/>
    <col min="2566" max="2566" width="12.42578125" style="238" customWidth="1"/>
    <col min="2567" max="2567" width="11.85546875" style="238" customWidth="1"/>
    <col min="2568" max="2570" width="11.42578125" style="238"/>
    <col min="2571" max="2571" width="6.7109375" style="238" customWidth="1"/>
    <col min="2572" max="2816" width="11.42578125" style="238"/>
    <col min="2817" max="2817" width="6.28515625" style="238" customWidth="1"/>
    <col min="2818" max="2818" width="11.7109375" style="238" customWidth="1"/>
    <col min="2819" max="2819" width="9.85546875" style="238" customWidth="1"/>
    <col min="2820" max="2820" width="12.42578125" style="238" customWidth="1"/>
    <col min="2821" max="2821" width="13.28515625" style="238" customWidth="1"/>
    <col min="2822" max="2822" width="12.42578125" style="238" customWidth="1"/>
    <col min="2823" max="2823" width="11.85546875" style="238" customWidth="1"/>
    <col min="2824" max="2826" width="11.42578125" style="238"/>
    <col min="2827" max="2827" width="6.7109375" style="238" customWidth="1"/>
    <col min="2828" max="3072" width="11.42578125" style="238"/>
    <col min="3073" max="3073" width="6.28515625" style="238" customWidth="1"/>
    <col min="3074" max="3074" width="11.7109375" style="238" customWidth="1"/>
    <col min="3075" max="3075" width="9.85546875" style="238" customWidth="1"/>
    <col min="3076" max="3076" width="12.42578125" style="238" customWidth="1"/>
    <col min="3077" max="3077" width="13.28515625" style="238" customWidth="1"/>
    <col min="3078" max="3078" width="12.42578125" style="238" customWidth="1"/>
    <col min="3079" max="3079" width="11.85546875" style="238" customWidth="1"/>
    <col min="3080" max="3082" width="11.42578125" style="238"/>
    <col min="3083" max="3083" width="6.7109375" style="238" customWidth="1"/>
    <col min="3084" max="3328" width="11.42578125" style="238"/>
    <col min="3329" max="3329" width="6.28515625" style="238" customWidth="1"/>
    <col min="3330" max="3330" width="11.7109375" style="238" customWidth="1"/>
    <col min="3331" max="3331" width="9.85546875" style="238" customWidth="1"/>
    <col min="3332" max="3332" width="12.42578125" style="238" customWidth="1"/>
    <col min="3333" max="3333" width="13.28515625" style="238" customWidth="1"/>
    <col min="3334" max="3334" width="12.42578125" style="238" customWidth="1"/>
    <col min="3335" max="3335" width="11.85546875" style="238" customWidth="1"/>
    <col min="3336" max="3338" width="11.42578125" style="238"/>
    <col min="3339" max="3339" width="6.7109375" style="238" customWidth="1"/>
    <col min="3340" max="3584" width="11.42578125" style="238"/>
    <col min="3585" max="3585" width="6.28515625" style="238" customWidth="1"/>
    <col min="3586" max="3586" width="11.7109375" style="238" customWidth="1"/>
    <col min="3587" max="3587" width="9.85546875" style="238" customWidth="1"/>
    <col min="3588" max="3588" width="12.42578125" style="238" customWidth="1"/>
    <col min="3589" max="3589" width="13.28515625" style="238" customWidth="1"/>
    <col min="3590" max="3590" width="12.42578125" style="238" customWidth="1"/>
    <col min="3591" max="3591" width="11.85546875" style="238" customWidth="1"/>
    <col min="3592" max="3594" width="11.42578125" style="238"/>
    <col min="3595" max="3595" width="6.7109375" style="238" customWidth="1"/>
    <col min="3596" max="3840" width="11.42578125" style="238"/>
    <col min="3841" max="3841" width="6.28515625" style="238" customWidth="1"/>
    <col min="3842" max="3842" width="11.7109375" style="238" customWidth="1"/>
    <col min="3843" max="3843" width="9.85546875" style="238" customWidth="1"/>
    <col min="3844" max="3844" width="12.42578125" style="238" customWidth="1"/>
    <col min="3845" max="3845" width="13.28515625" style="238" customWidth="1"/>
    <col min="3846" max="3846" width="12.42578125" style="238" customWidth="1"/>
    <col min="3847" max="3847" width="11.85546875" style="238" customWidth="1"/>
    <col min="3848" max="3850" width="11.42578125" style="238"/>
    <col min="3851" max="3851" width="6.7109375" style="238" customWidth="1"/>
    <col min="3852" max="4096" width="11.42578125" style="238"/>
    <col min="4097" max="4097" width="6.28515625" style="238" customWidth="1"/>
    <col min="4098" max="4098" width="11.7109375" style="238" customWidth="1"/>
    <col min="4099" max="4099" width="9.85546875" style="238" customWidth="1"/>
    <col min="4100" max="4100" width="12.42578125" style="238" customWidth="1"/>
    <col min="4101" max="4101" width="13.28515625" style="238" customWidth="1"/>
    <col min="4102" max="4102" width="12.42578125" style="238" customWidth="1"/>
    <col min="4103" max="4103" width="11.85546875" style="238" customWidth="1"/>
    <col min="4104" max="4106" width="11.42578125" style="238"/>
    <col min="4107" max="4107" width="6.7109375" style="238" customWidth="1"/>
    <col min="4108" max="4352" width="11.42578125" style="238"/>
    <col min="4353" max="4353" width="6.28515625" style="238" customWidth="1"/>
    <col min="4354" max="4354" width="11.7109375" style="238" customWidth="1"/>
    <col min="4355" max="4355" width="9.85546875" style="238" customWidth="1"/>
    <col min="4356" max="4356" width="12.42578125" style="238" customWidth="1"/>
    <col min="4357" max="4357" width="13.28515625" style="238" customWidth="1"/>
    <col min="4358" max="4358" width="12.42578125" style="238" customWidth="1"/>
    <col min="4359" max="4359" width="11.85546875" style="238" customWidth="1"/>
    <col min="4360" max="4362" width="11.42578125" style="238"/>
    <col min="4363" max="4363" width="6.7109375" style="238" customWidth="1"/>
    <col min="4364" max="4608" width="11.42578125" style="238"/>
    <col min="4609" max="4609" width="6.28515625" style="238" customWidth="1"/>
    <col min="4610" max="4610" width="11.7109375" style="238" customWidth="1"/>
    <col min="4611" max="4611" width="9.85546875" style="238" customWidth="1"/>
    <col min="4612" max="4612" width="12.42578125" style="238" customWidth="1"/>
    <col min="4613" max="4613" width="13.28515625" style="238" customWidth="1"/>
    <col min="4614" max="4614" width="12.42578125" style="238" customWidth="1"/>
    <col min="4615" max="4615" width="11.85546875" style="238" customWidth="1"/>
    <col min="4616" max="4618" width="11.42578125" style="238"/>
    <col min="4619" max="4619" width="6.7109375" style="238" customWidth="1"/>
    <col min="4620" max="4864" width="11.42578125" style="238"/>
    <col min="4865" max="4865" width="6.28515625" style="238" customWidth="1"/>
    <col min="4866" max="4866" width="11.7109375" style="238" customWidth="1"/>
    <col min="4867" max="4867" width="9.85546875" style="238" customWidth="1"/>
    <col min="4868" max="4868" width="12.42578125" style="238" customWidth="1"/>
    <col min="4869" max="4869" width="13.28515625" style="238" customWidth="1"/>
    <col min="4870" max="4870" width="12.42578125" style="238" customWidth="1"/>
    <col min="4871" max="4871" width="11.85546875" style="238" customWidth="1"/>
    <col min="4872" max="4874" width="11.42578125" style="238"/>
    <col min="4875" max="4875" width="6.7109375" style="238" customWidth="1"/>
    <col min="4876" max="5120" width="11.42578125" style="238"/>
    <col min="5121" max="5121" width="6.28515625" style="238" customWidth="1"/>
    <col min="5122" max="5122" width="11.7109375" style="238" customWidth="1"/>
    <col min="5123" max="5123" width="9.85546875" style="238" customWidth="1"/>
    <col min="5124" max="5124" width="12.42578125" style="238" customWidth="1"/>
    <col min="5125" max="5125" width="13.28515625" style="238" customWidth="1"/>
    <col min="5126" max="5126" width="12.42578125" style="238" customWidth="1"/>
    <col min="5127" max="5127" width="11.85546875" style="238" customWidth="1"/>
    <col min="5128" max="5130" width="11.42578125" style="238"/>
    <col min="5131" max="5131" width="6.7109375" style="238" customWidth="1"/>
    <col min="5132" max="5376" width="11.42578125" style="238"/>
    <col min="5377" max="5377" width="6.28515625" style="238" customWidth="1"/>
    <col min="5378" max="5378" width="11.7109375" style="238" customWidth="1"/>
    <col min="5379" max="5379" width="9.85546875" style="238" customWidth="1"/>
    <col min="5380" max="5380" width="12.42578125" style="238" customWidth="1"/>
    <col min="5381" max="5381" width="13.28515625" style="238" customWidth="1"/>
    <col min="5382" max="5382" width="12.42578125" style="238" customWidth="1"/>
    <col min="5383" max="5383" width="11.85546875" style="238" customWidth="1"/>
    <col min="5384" max="5386" width="11.42578125" style="238"/>
    <col min="5387" max="5387" width="6.7109375" style="238" customWidth="1"/>
    <col min="5388" max="5632" width="11.42578125" style="238"/>
    <col min="5633" max="5633" width="6.28515625" style="238" customWidth="1"/>
    <col min="5634" max="5634" width="11.7109375" style="238" customWidth="1"/>
    <col min="5635" max="5635" width="9.85546875" style="238" customWidth="1"/>
    <col min="5636" max="5636" width="12.42578125" style="238" customWidth="1"/>
    <col min="5637" max="5637" width="13.28515625" style="238" customWidth="1"/>
    <col min="5638" max="5638" width="12.42578125" style="238" customWidth="1"/>
    <col min="5639" max="5639" width="11.85546875" style="238" customWidth="1"/>
    <col min="5640" max="5642" width="11.42578125" style="238"/>
    <col min="5643" max="5643" width="6.7109375" style="238" customWidth="1"/>
    <col min="5644" max="5888" width="11.42578125" style="238"/>
    <col min="5889" max="5889" width="6.28515625" style="238" customWidth="1"/>
    <col min="5890" max="5890" width="11.7109375" style="238" customWidth="1"/>
    <col min="5891" max="5891" width="9.85546875" style="238" customWidth="1"/>
    <col min="5892" max="5892" width="12.42578125" style="238" customWidth="1"/>
    <col min="5893" max="5893" width="13.28515625" style="238" customWidth="1"/>
    <col min="5894" max="5894" width="12.42578125" style="238" customWidth="1"/>
    <col min="5895" max="5895" width="11.85546875" style="238" customWidth="1"/>
    <col min="5896" max="5898" width="11.42578125" style="238"/>
    <col min="5899" max="5899" width="6.7109375" style="238" customWidth="1"/>
    <col min="5900" max="6144" width="11.42578125" style="238"/>
    <col min="6145" max="6145" width="6.28515625" style="238" customWidth="1"/>
    <col min="6146" max="6146" width="11.7109375" style="238" customWidth="1"/>
    <col min="6147" max="6147" width="9.85546875" style="238" customWidth="1"/>
    <col min="6148" max="6148" width="12.42578125" style="238" customWidth="1"/>
    <col min="6149" max="6149" width="13.28515625" style="238" customWidth="1"/>
    <col min="6150" max="6150" width="12.42578125" style="238" customWidth="1"/>
    <col min="6151" max="6151" width="11.85546875" style="238" customWidth="1"/>
    <col min="6152" max="6154" width="11.42578125" style="238"/>
    <col min="6155" max="6155" width="6.7109375" style="238" customWidth="1"/>
    <col min="6156" max="6400" width="11.42578125" style="238"/>
    <col min="6401" max="6401" width="6.28515625" style="238" customWidth="1"/>
    <col min="6402" max="6402" width="11.7109375" style="238" customWidth="1"/>
    <col min="6403" max="6403" width="9.85546875" style="238" customWidth="1"/>
    <col min="6404" max="6404" width="12.42578125" style="238" customWidth="1"/>
    <col min="6405" max="6405" width="13.28515625" style="238" customWidth="1"/>
    <col min="6406" max="6406" width="12.42578125" style="238" customWidth="1"/>
    <col min="6407" max="6407" width="11.85546875" style="238" customWidth="1"/>
    <col min="6408" max="6410" width="11.42578125" style="238"/>
    <col min="6411" max="6411" width="6.7109375" style="238" customWidth="1"/>
    <col min="6412" max="6656" width="11.42578125" style="238"/>
    <col min="6657" max="6657" width="6.28515625" style="238" customWidth="1"/>
    <col min="6658" max="6658" width="11.7109375" style="238" customWidth="1"/>
    <col min="6659" max="6659" width="9.85546875" style="238" customWidth="1"/>
    <col min="6660" max="6660" width="12.42578125" style="238" customWidth="1"/>
    <col min="6661" max="6661" width="13.28515625" style="238" customWidth="1"/>
    <col min="6662" max="6662" width="12.42578125" style="238" customWidth="1"/>
    <col min="6663" max="6663" width="11.85546875" style="238" customWidth="1"/>
    <col min="6664" max="6666" width="11.42578125" style="238"/>
    <col min="6667" max="6667" width="6.7109375" style="238" customWidth="1"/>
    <col min="6668" max="6912" width="11.42578125" style="238"/>
    <col min="6913" max="6913" width="6.28515625" style="238" customWidth="1"/>
    <col min="6914" max="6914" width="11.7109375" style="238" customWidth="1"/>
    <col min="6915" max="6915" width="9.85546875" style="238" customWidth="1"/>
    <col min="6916" max="6916" width="12.42578125" style="238" customWidth="1"/>
    <col min="6917" max="6917" width="13.28515625" style="238" customWidth="1"/>
    <col min="6918" max="6918" width="12.42578125" style="238" customWidth="1"/>
    <col min="6919" max="6919" width="11.85546875" style="238" customWidth="1"/>
    <col min="6920" max="6922" width="11.42578125" style="238"/>
    <col min="6923" max="6923" width="6.7109375" style="238" customWidth="1"/>
    <col min="6924" max="7168" width="11.42578125" style="238"/>
    <col min="7169" max="7169" width="6.28515625" style="238" customWidth="1"/>
    <col min="7170" max="7170" width="11.7109375" style="238" customWidth="1"/>
    <col min="7171" max="7171" width="9.85546875" style="238" customWidth="1"/>
    <col min="7172" max="7172" width="12.42578125" style="238" customWidth="1"/>
    <col min="7173" max="7173" width="13.28515625" style="238" customWidth="1"/>
    <col min="7174" max="7174" width="12.42578125" style="238" customWidth="1"/>
    <col min="7175" max="7175" width="11.85546875" style="238" customWidth="1"/>
    <col min="7176" max="7178" width="11.42578125" style="238"/>
    <col min="7179" max="7179" width="6.7109375" style="238" customWidth="1"/>
    <col min="7180" max="7424" width="11.42578125" style="238"/>
    <col min="7425" max="7425" width="6.28515625" style="238" customWidth="1"/>
    <col min="7426" max="7426" width="11.7109375" style="238" customWidth="1"/>
    <col min="7427" max="7427" width="9.85546875" style="238" customWidth="1"/>
    <col min="7428" max="7428" width="12.42578125" style="238" customWidth="1"/>
    <col min="7429" max="7429" width="13.28515625" style="238" customWidth="1"/>
    <col min="7430" max="7430" width="12.42578125" style="238" customWidth="1"/>
    <col min="7431" max="7431" width="11.85546875" style="238" customWidth="1"/>
    <col min="7432" max="7434" width="11.42578125" style="238"/>
    <col min="7435" max="7435" width="6.7109375" style="238" customWidth="1"/>
    <col min="7436" max="7680" width="11.42578125" style="238"/>
    <col min="7681" max="7681" width="6.28515625" style="238" customWidth="1"/>
    <col min="7682" max="7682" width="11.7109375" style="238" customWidth="1"/>
    <col min="7683" max="7683" width="9.85546875" style="238" customWidth="1"/>
    <col min="7684" max="7684" width="12.42578125" style="238" customWidth="1"/>
    <col min="7685" max="7685" width="13.28515625" style="238" customWidth="1"/>
    <col min="7686" max="7686" width="12.42578125" style="238" customWidth="1"/>
    <col min="7687" max="7687" width="11.85546875" style="238" customWidth="1"/>
    <col min="7688" max="7690" width="11.42578125" style="238"/>
    <col min="7691" max="7691" width="6.7109375" style="238" customWidth="1"/>
    <col min="7692" max="7936" width="11.42578125" style="238"/>
    <col min="7937" max="7937" width="6.28515625" style="238" customWidth="1"/>
    <col min="7938" max="7938" width="11.7109375" style="238" customWidth="1"/>
    <col min="7939" max="7939" width="9.85546875" style="238" customWidth="1"/>
    <col min="7940" max="7940" width="12.42578125" style="238" customWidth="1"/>
    <col min="7941" max="7941" width="13.28515625" style="238" customWidth="1"/>
    <col min="7942" max="7942" width="12.42578125" style="238" customWidth="1"/>
    <col min="7943" max="7943" width="11.85546875" style="238" customWidth="1"/>
    <col min="7944" max="7946" width="11.42578125" style="238"/>
    <col min="7947" max="7947" width="6.7109375" style="238" customWidth="1"/>
    <col min="7948" max="8192" width="11.42578125" style="238"/>
    <col min="8193" max="8193" width="6.28515625" style="238" customWidth="1"/>
    <col min="8194" max="8194" width="11.7109375" style="238" customWidth="1"/>
    <col min="8195" max="8195" width="9.85546875" style="238" customWidth="1"/>
    <col min="8196" max="8196" width="12.42578125" style="238" customWidth="1"/>
    <col min="8197" max="8197" width="13.28515625" style="238" customWidth="1"/>
    <col min="8198" max="8198" width="12.42578125" style="238" customWidth="1"/>
    <col min="8199" max="8199" width="11.85546875" style="238" customWidth="1"/>
    <col min="8200" max="8202" width="11.42578125" style="238"/>
    <col min="8203" max="8203" width="6.7109375" style="238" customWidth="1"/>
    <col min="8204" max="8448" width="11.42578125" style="238"/>
    <col min="8449" max="8449" width="6.28515625" style="238" customWidth="1"/>
    <col min="8450" max="8450" width="11.7109375" style="238" customWidth="1"/>
    <col min="8451" max="8451" width="9.85546875" style="238" customWidth="1"/>
    <col min="8452" max="8452" width="12.42578125" style="238" customWidth="1"/>
    <col min="8453" max="8453" width="13.28515625" style="238" customWidth="1"/>
    <col min="8454" max="8454" width="12.42578125" style="238" customWidth="1"/>
    <col min="8455" max="8455" width="11.85546875" style="238" customWidth="1"/>
    <col min="8456" max="8458" width="11.42578125" style="238"/>
    <col min="8459" max="8459" width="6.7109375" style="238" customWidth="1"/>
    <col min="8460" max="8704" width="11.42578125" style="238"/>
    <col min="8705" max="8705" width="6.28515625" style="238" customWidth="1"/>
    <col min="8706" max="8706" width="11.7109375" style="238" customWidth="1"/>
    <col min="8707" max="8707" width="9.85546875" style="238" customWidth="1"/>
    <col min="8708" max="8708" width="12.42578125" style="238" customWidth="1"/>
    <col min="8709" max="8709" width="13.28515625" style="238" customWidth="1"/>
    <col min="8710" max="8710" width="12.42578125" style="238" customWidth="1"/>
    <col min="8711" max="8711" width="11.85546875" style="238" customWidth="1"/>
    <col min="8712" max="8714" width="11.42578125" style="238"/>
    <col min="8715" max="8715" width="6.7109375" style="238" customWidth="1"/>
    <col min="8716" max="8960" width="11.42578125" style="238"/>
    <col min="8961" max="8961" width="6.28515625" style="238" customWidth="1"/>
    <col min="8962" max="8962" width="11.7109375" style="238" customWidth="1"/>
    <col min="8963" max="8963" width="9.85546875" style="238" customWidth="1"/>
    <col min="8964" max="8964" width="12.42578125" style="238" customWidth="1"/>
    <col min="8965" max="8965" width="13.28515625" style="238" customWidth="1"/>
    <col min="8966" max="8966" width="12.42578125" style="238" customWidth="1"/>
    <col min="8967" max="8967" width="11.85546875" style="238" customWidth="1"/>
    <col min="8968" max="8970" width="11.42578125" style="238"/>
    <col min="8971" max="8971" width="6.7109375" style="238" customWidth="1"/>
    <col min="8972" max="9216" width="11.42578125" style="238"/>
    <col min="9217" max="9217" width="6.28515625" style="238" customWidth="1"/>
    <col min="9218" max="9218" width="11.7109375" style="238" customWidth="1"/>
    <col min="9219" max="9219" width="9.85546875" style="238" customWidth="1"/>
    <col min="9220" max="9220" width="12.42578125" style="238" customWidth="1"/>
    <col min="9221" max="9221" width="13.28515625" style="238" customWidth="1"/>
    <col min="9222" max="9222" width="12.42578125" style="238" customWidth="1"/>
    <col min="9223" max="9223" width="11.85546875" style="238" customWidth="1"/>
    <col min="9224" max="9226" width="11.42578125" style="238"/>
    <col min="9227" max="9227" width="6.7109375" style="238" customWidth="1"/>
    <col min="9228" max="9472" width="11.42578125" style="238"/>
    <col min="9473" max="9473" width="6.28515625" style="238" customWidth="1"/>
    <col min="9474" max="9474" width="11.7109375" style="238" customWidth="1"/>
    <col min="9475" max="9475" width="9.85546875" style="238" customWidth="1"/>
    <col min="9476" max="9476" width="12.42578125" style="238" customWidth="1"/>
    <col min="9477" max="9477" width="13.28515625" style="238" customWidth="1"/>
    <col min="9478" max="9478" width="12.42578125" style="238" customWidth="1"/>
    <col min="9479" max="9479" width="11.85546875" style="238" customWidth="1"/>
    <col min="9480" max="9482" width="11.42578125" style="238"/>
    <col min="9483" max="9483" width="6.7109375" style="238" customWidth="1"/>
    <col min="9484" max="9728" width="11.42578125" style="238"/>
    <col min="9729" max="9729" width="6.28515625" style="238" customWidth="1"/>
    <col min="9730" max="9730" width="11.7109375" style="238" customWidth="1"/>
    <col min="9731" max="9731" width="9.85546875" style="238" customWidth="1"/>
    <col min="9732" max="9732" width="12.42578125" style="238" customWidth="1"/>
    <col min="9733" max="9733" width="13.28515625" style="238" customWidth="1"/>
    <col min="9734" max="9734" width="12.42578125" style="238" customWidth="1"/>
    <col min="9735" max="9735" width="11.85546875" style="238" customWidth="1"/>
    <col min="9736" max="9738" width="11.42578125" style="238"/>
    <col min="9739" max="9739" width="6.7109375" style="238" customWidth="1"/>
    <col min="9740" max="9984" width="11.42578125" style="238"/>
    <col min="9985" max="9985" width="6.28515625" style="238" customWidth="1"/>
    <col min="9986" max="9986" width="11.7109375" style="238" customWidth="1"/>
    <col min="9987" max="9987" width="9.85546875" style="238" customWidth="1"/>
    <col min="9988" max="9988" width="12.42578125" style="238" customWidth="1"/>
    <col min="9989" max="9989" width="13.28515625" style="238" customWidth="1"/>
    <col min="9990" max="9990" width="12.42578125" style="238" customWidth="1"/>
    <col min="9991" max="9991" width="11.85546875" style="238" customWidth="1"/>
    <col min="9992" max="9994" width="11.42578125" style="238"/>
    <col min="9995" max="9995" width="6.7109375" style="238" customWidth="1"/>
    <col min="9996" max="10240" width="11.42578125" style="238"/>
    <col min="10241" max="10241" width="6.28515625" style="238" customWidth="1"/>
    <col min="10242" max="10242" width="11.7109375" style="238" customWidth="1"/>
    <col min="10243" max="10243" width="9.85546875" style="238" customWidth="1"/>
    <col min="10244" max="10244" width="12.42578125" style="238" customWidth="1"/>
    <col min="10245" max="10245" width="13.28515625" style="238" customWidth="1"/>
    <col min="10246" max="10246" width="12.42578125" style="238" customWidth="1"/>
    <col min="10247" max="10247" width="11.85546875" style="238" customWidth="1"/>
    <col min="10248" max="10250" width="11.42578125" style="238"/>
    <col min="10251" max="10251" width="6.7109375" style="238" customWidth="1"/>
    <col min="10252" max="10496" width="11.42578125" style="238"/>
    <col min="10497" max="10497" width="6.28515625" style="238" customWidth="1"/>
    <col min="10498" max="10498" width="11.7109375" style="238" customWidth="1"/>
    <col min="10499" max="10499" width="9.85546875" style="238" customWidth="1"/>
    <col min="10500" max="10500" width="12.42578125" style="238" customWidth="1"/>
    <col min="10501" max="10501" width="13.28515625" style="238" customWidth="1"/>
    <col min="10502" max="10502" width="12.42578125" style="238" customWidth="1"/>
    <col min="10503" max="10503" width="11.85546875" style="238" customWidth="1"/>
    <col min="10504" max="10506" width="11.42578125" style="238"/>
    <col min="10507" max="10507" width="6.7109375" style="238" customWidth="1"/>
    <col min="10508" max="10752" width="11.42578125" style="238"/>
    <col min="10753" max="10753" width="6.28515625" style="238" customWidth="1"/>
    <col min="10754" max="10754" width="11.7109375" style="238" customWidth="1"/>
    <col min="10755" max="10755" width="9.85546875" style="238" customWidth="1"/>
    <col min="10756" max="10756" width="12.42578125" style="238" customWidth="1"/>
    <col min="10757" max="10757" width="13.28515625" style="238" customWidth="1"/>
    <col min="10758" max="10758" width="12.42578125" style="238" customWidth="1"/>
    <col min="10759" max="10759" width="11.85546875" style="238" customWidth="1"/>
    <col min="10760" max="10762" width="11.42578125" style="238"/>
    <col min="10763" max="10763" width="6.7109375" style="238" customWidth="1"/>
    <col min="10764" max="11008" width="11.42578125" style="238"/>
    <col min="11009" max="11009" width="6.28515625" style="238" customWidth="1"/>
    <col min="11010" max="11010" width="11.7109375" style="238" customWidth="1"/>
    <col min="11011" max="11011" width="9.85546875" style="238" customWidth="1"/>
    <col min="11012" max="11012" width="12.42578125" style="238" customWidth="1"/>
    <col min="11013" max="11013" width="13.28515625" style="238" customWidth="1"/>
    <col min="11014" max="11014" width="12.42578125" style="238" customWidth="1"/>
    <col min="11015" max="11015" width="11.85546875" style="238" customWidth="1"/>
    <col min="11016" max="11018" width="11.42578125" style="238"/>
    <col min="11019" max="11019" width="6.7109375" style="238" customWidth="1"/>
    <col min="11020" max="11264" width="11.42578125" style="238"/>
    <col min="11265" max="11265" width="6.28515625" style="238" customWidth="1"/>
    <col min="11266" max="11266" width="11.7109375" style="238" customWidth="1"/>
    <col min="11267" max="11267" width="9.85546875" style="238" customWidth="1"/>
    <col min="11268" max="11268" width="12.42578125" style="238" customWidth="1"/>
    <col min="11269" max="11269" width="13.28515625" style="238" customWidth="1"/>
    <col min="11270" max="11270" width="12.42578125" style="238" customWidth="1"/>
    <col min="11271" max="11271" width="11.85546875" style="238" customWidth="1"/>
    <col min="11272" max="11274" width="11.42578125" style="238"/>
    <col min="11275" max="11275" width="6.7109375" style="238" customWidth="1"/>
    <col min="11276" max="11520" width="11.42578125" style="238"/>
    <col min="11521" max="11521" width="6.28515625" style="238" customWidth="1"/>
    <col min="11522" max="11522" width="11.7109375" style="238" customWidth="1"/>
    <col min="11523" max="11523" width="9.85546875" style="238" customWidth="1"/>
    <col min="11524" max="11524" width="12.42578125" style="238" customWidth="1"/>
    <col min="11525" max="11525" width="13.28515625" style="238" customWidth="1"/>
    <col min="11526" max="11526" width="12.42578125" style="238" customWidth="1"/>
    <col min="11527" max="11527" width="11.85546875" style="238" customWidth="1"/>
    <col min="11528" max="11530" width="11.42578125" style="238"/>
    <col min="11531" max="11531" width="6.7109375" style="238" customWidth="1"/>
    <col min="11532" max="11776" width="11.42578125" style="238"/>
    <col min="11777" max="11777" width="6.28515625" style="238" customWidth="1"/>
    <col min="11778" max="11778" width="11.7109375" style="238" customWidth="1"/>
    <col min="11779" max="11779" width="9.85546875" style="238" customWidth="1"/>
    <col min="11780" max="11780" width="12.42578125" style="238" customWidth="1"/>
    <col min="11781" max="11781" width="13.28515625" style="238" customWidth="1"/>
    <col min="11782" max="11782" width="12.42578125" style="238" customWidth="1"/>
    <col min="11783" max="11783" width="11.85546875" style="238" customWidth="1"/>
    <col min="11784" max="11786" width="11.42578125" style="238"/>
    <col min="11787" max="11787" width="6.7109375" style="238" customWidth="1"/>
    <col min="11788" max="12032" width="11.42578125" style="238"/>
    <col min="12033" max="12033" width="6.28515625" style="238" customWidth="1"/>
    <col min="12034" max="12034" width="11.7109375" style="238" customWidth="1"/>
    <col min="12035" max="12035" width="9.85546875" style="238" customWidth="1"/>
    <col min="12036" max="12036" width="12.42578125" style="238" customWidth="1"/>
    <col min="12037" max="12037" width="13.28515625" style="238" customWidth="1"/>
    <col min="12038" max="12038" width="12.42578125" style="238" customWidth="1"/>
    <col min="12039" max="12039" width="11.85546875" style="238" customWidth="1"/>
    <col min="12040" max="12042" width="11.42578125" style="238"/>
    <col min="12043" max="12043" width="6.7109375" style="238" customWidth="1"/>
    <col min="12044" max="12288" width="11.42578125" style="238"/>
    <col min="12289" max="12289" width="6.28515625" style="238" customWidth="1"/>
    <col min="12290" max="12290" width="11.7109375" style="238" customWidth="1"/>
    <col min="12291" max="12291" width="9.85546875" style="238" customWidth="1"/>
    <col min="12292" max="12292" width="12.42578125" style="238" customWidth="1"/>
    <col min="12293" max="12293" width="13.28515625" style="238" customWidth="1"/>
    <col min="12294" max="12294" width="12.42578125" style="238" customWidth="1"/>
    <col min="12295" max="12295" width="11.85546875" style="238" customWidth="1"/>
    <col min="12296" max="12298" width="11.42578125" style="238"/>
    <col min="12299" max="12299" width="6.7109375" style="238" customWidth="1"/>
    <col min="12300" max="12544" width="11.42578125" style="238"/>
    <col min="12545" max="12545" width="6.28515625" style="238" customWidth="1"/>
    <col min="12546" max="12546" width="11.7109375" style="238" customWidth="1"/>
    <col min="12547" max="12547" width="9.85546875" style="238" customWidth="1"/>
    <col min="12548" max="12548" width="12.42578125" style="238" customWidth="1"/>
    <col min="12549" max="12549" width="13.28515625" style="238" customWidth="1"/>
    <col min="12550" max="12550" width="12.42578125" style="238" customWidth="1"/>
    <col min="12551" max="12551" width="11.85546875" style="238" customWidth="1"/>
    <col min="12552" max="12554" width="11.42578125" style="238"/>
    <col min="12555" max="12555" width="6.7109375" style="238" customWidth="1"/>
    <col min="12556" max="12800" width="11.42578125" style="238"/>
    <col min="12801" max="12801" width="6.28515625" style="238" customWidth="1"/>
    <col min="12802" max="12802" width="11.7109375" style="238" customWidth="1"/>
    <col min="12803" max="12803" width="9.85546875" style="238" customWidth="1"/>
    <col min="12804" max="12804" width="12.42578125" style="238" customWidth="1"/>
    <col min="12805" max="12805" width="13.28515625" style="238" customWidth="1"/>
    <col min="12806" max="12806" width="12.42578125" style="238" customWidth="1"/>
    <col min="12807" max="12807" width="11.85546875" style="238" customWidth="1"/>
    <col min="12808" max="12810" width="11.42578125" style="238"/>
    <col min="12811" max="12811" width="6.7109375" style="238" customWidth="1"/>
    <col min="12812" max="13056" width="11.42578125" style="238"/>
    <col min="13057" max="13057" width="6.28515625" style="238" customWidth="1"/>
    <col min="13058" max="13058" width="11.7109375" style="238" customWidth="1"/>
    <col min="13059" max="13059" width="9.85546875" style="238" customWidth="1"/>
    <col min="13060" max="13060" width="12.42578125" style="238" customWidth="1"/>
    <col min="13061" max="13061" width="13.28515625" style="238" customWidth="1"/>
    <col min="13062" max="13062" width="12.42578125" style="238" customWidth="1"/>
    <col min="13063" max="13063" width="11.85546875" style="238" customWidth="1"/>
    <col min="13064" max="13066" width="11.42578125" style="238"/>
    <col min="13067" max="13067" width="6.7109375" style="238" customWidth="1"/>
    <col min="13068" max="13312" width="11.42578125" style="238"/>
    <col min="13313" max="13313" width="6.28515625" style="238" customWidth="1"/>
    <col min="13314" max="13314" width="11.7109375" style="238" customWidth="1"/>
    <col min="13315" max="13315" width="9.85546875" style="238" customWidth="1"/>
    <col min="13316" max="13316" width="12.42578125" style="238" customWidth="1"/>
    <col min="13317" max="13317" width="13.28515625" style="238" customWidth="1"/>
    <col min="13318" max="13318" width="12.42578125" style="238" customWidth="1"/>
    <col min="13319" max="13319" width="11.85546875" style="238" customWidth="1"/>
    <col min="13320" max="13322" width="11.42578125" style="238"/>
    <col min="13323" max="13323" width="6.7109375" style="238" customWidth="1"/>
    <col min="13324" max="13568" width="11.42578125" style="238"/>
    <col min="13569" max="13569" width="6.28515625" style="238" customWidth="1"/>
    <col min="13570" max="13570" width="11.7109375" style="238" customWidth="1"/>
    <col min="13571" max="13571" width="9.85546875" style="238" customWidth="1"/>
    <col min="13572" max="13572" width="12.42578125" style="238" customWidth="1"/>
    <col min="13573" max="13573" width="13.28515625" style="238" customWidth="1"/>
    <col min="13574" max="13574" width="12.42578125" style="238" customWidth="1"/>
    <col min="13575" max="13575" width="11.85546875" style="238" customWidth="1"/>
    <col min="13576" max="13578" width="11.42578125" style="238"/>
    <col min="13579" max="13579" width="6.7109375" style="238" customWidth="1"/>
    <col min="13580" max="13824" width="11.42578125" style="238"/>
    <col min="13825" max="13825" width="6.28515625" style="238" customWidth="1"/>
    <col min="13826" max="13826" width="11.7109375" style="238" customWidth="1"/>
    <col min="13827" max="13827" width="9.85546875" style="238" customWidth="1"/>
    <col min="13828" max="13828" width="12.42578125" style="238" customWidth="1"/>
    <col min="13829" max="13829" width="13.28515625" style="238" customWidth="1"/>
    <col min="13830" max="13830" width="12.42578125" style="238" customWidth="1"/>
    <col min="13831" max="13831" width="11.85546875" style="238" customWidth="1"/>
    <col min="13832" max="13834" width="11.42578125" style="238"/>
    <col min="13835" max="13835" width="6.7109375" style="238" customWidth="1"/>
    <col min="13836" max="14080" width="11.42578125" style="238"/>
    <col min="14081" max="14081" width="6.28515625" style="238" customWidth="1"/>
    <col min="14082" max="14082" width="11.7109375" style="238" customWidth="1"/>
    <col min="14083" max="14083" width="9.85546875" style="238" customWidth="1"/>
    <col min="14084" max="14084" width="12.42578125" style="238" customWidth="1"/>
    <col min="14085" max="14085" width="13.28515625" style="238" customWidth="1"/>
    <col min="14086" max="14086" width="12.42578125" style="238" customWidth="1"/>
    <col min="14087" max="14087" width="11.85546875" style="238" customWidth="1"/>
    <col min="14088" max="14090" width="11.42578125" style="238"/>
    <col min="14091" max="14091" width="6.7109375" style="238" customWidth="1"/>
    <col min="14092" max="14336" width="11.42578125" style="238"/>
    <col min="14337" max="14337" width="6.28515625" style="238" customWidth="1"/>
    <col min="14338" max="14338" width="11.7109375" style="238" customWidth="1"/>
    <col min="14339" max="14339" width="9.85546875" style="238" customWidth="1"/>
    <col min="14340" max="14340" width="12.42578125" style="238" customWidth="1"/>
    <col min="14341" max="14341" width="13.28515625" style="238" customWidth="1"/>
    <col min="14342" max="14342" width="12.42578125" style="238" customWidth="1"/>
    <col min="14343" max="14343" width="11.85546875" style="238" customWidth="1"/>
    <col min="14344" max="14346" width="11.42578125" style="238"/>
    <col min="14347" max="14347" width="6.7109375" style="238" customWidth="1"/>
    <col min="14348" max="14592" width="11.42578125" style="238"/>
    <col min="14593" max="14593" width="6.28515625" style="238" customWidth="1"/>
    <col min="14594" max="14594" width="11.7109375" style="238" customWidth="1"/>
    <col min="14595" max="14595" width="9.85546875" style="238" customWidth="1"/>
    <col min="14596" max="14596" width="12.42578125" style="238" customWidth="1"/>
    <col min="14597" max="14597" width="13.28515625" style="238" customWidth="1"/>
    <col min="14598" max="14598" width="12.42578125" style="238" customWidth="1"/>
    <col min="14599" max="14599" width="11.85546875" style="238" customWidth="1"/>
    <col min="14600" max="14602" width="11.42578125" style="238"/>
    <col min="14603" max="14603" width="6.7109375" style="238" customWidth="1"/>
    <col min="14604" max="14848" width="11.42578125" style="238"/>
    <col min="14849" max="14849" width="6.28515625" style="238" customWidth="1"/>
    <col min="14850" max="14850" width="11.7109375" style="238" customWidth="1"/>
    <col min="14851" max="14851" width="9.85546875" style="238" customWidth="1"/>
    <col min="14852" max="14852" width="12.42578125" style="238" customWidth="1"/>
    <col min="14853" max="14853" width="13.28515625" style="238" customWidth="1"/>
    <col min="14854" max="14854" width="12.42578125" style="238" customWidth="1"/>
    <col min="14855" max="14855" width="11.85546875" style="238" customWidth="1"/>
    <col min="14856" max="14858" width="11.42578125" style="238"/>
    <col min="14859" max="14859" width="6.7109375" style="238" customWidth="1"/>
    <col min="14860" max="15104" width="11.42578125" style="238"/>
    <col min="15105" max="15105" width="6.28515625" style="238" customWidth="1"/>
    <col min="15106" max="15106" width="11.7109375" style="238" customWidth="1"/>
    <col min="15107" max="15107" width="9.85546875" style="238" customWidth="1"/>
    <col min="15108" max="15108" width="12.42578125" style="238" customWidth="1"/>
    <col min="15109" max="15109" width="13.28515625" style="238" customWidth="1"/>
    <col min="15110" max="15110" width="12.42578125" style="238" customWidth="1"/>
    <col min="15111" max="15111" width="11.85546875" style="238" customWidth="1"/>
    <col min="15112" max="15114" width="11.42578125" style="238"/>
    <col min="15115" max="15115" width="6.7109375" style="238" customWidth="1"/>
    <col min="15116" max="15360" width="11.42578125" style="238"/>
    <col min="15361" max="15361" width="6.28515625" style="238" customWidth="1"/>
    <col min="15362" max="15362" width="11.7109375" style="238" customWidth="1"/>
    <col min="15363" max="15363" width="9.85546875" style="238" customWidth="1"/>
    <col min="15364" max="15364" width="12.42578125" style="238" customWidth="1"/>
    <col min="15365" max="15365" width="13.28515625" style="238" customWidth="1"/>
    <col min="15366" max="15366" width="12.42578125" style="238" customWidth="1"/>
    <col min="15367" max="15367" width="11.85546875" style="238" customWidth="1"/>
    <col min="15368" max="15370" width="11.42578125" style="238"/>
    <col min="15371" max="15371" width="6.7109375" style="238" customWidth="1"/>
    <col min="15372" max="15616" width="11.42578125" style="238"/>
    <col min="15617" max="15617" width="6.28515625" style="238" customWidth="1"/>
    <col min="15618" max="15618" width="11.7109375" style="238" customWidth="1"/>
    <col min="15619" max="15619" width="9.85546875" style="238" customWidth="1"/>
    <col min="15620" max="15620" width="12.42578125" style="238" customWidth="1"/>
    <col min="15621" max="15621" width="13.28515625" style="238" customWidth="1"/>
    <col min="15622" max="15622" width="12.42578125" style="238" customWidth="1"/>
    <col min="15623" max="15623" width="11.85546875" style="238" customWidth="1"/>
    <col min="15624" max="15626" width="11.42578125" style="238"/>
    <col min="15627" max="15627" width="6.7109375" style="238" customWidth="1"/>
    <col min="15628" max="15872" width="11.42578125" style="238"/>
    <col min="15873" max="15873" width="6.28515625" style="238" customWidth="1"/>
    <col min="15874" max="15874" width="11.7109375" style="238" customWidth="1"/>
    <col min="15875" max="15875" width="9.85546875" style="238" customWidth="1"/>
    <col min="15876" max="15876" width="12.42578125" style="238" customWidth="1"/>
    <col min="15877" max="15877" width="13.28515625" style="238" customWidth="1"/>
    <col min="15878" max="15878" width="12.42578125" style="238" customWidth="1"/>
    <col min="15879" max="15879" width="11.85546875" style="238" customWidth="1"/>
    <col min="15880" max="15882" width="11.42578125" style="238"/>
    <col min="15883" max="15883" width="6.7109375" style="238" customWidth="1"/>
    <col min="15884" max="16128" width="11.42578125" style="238"/>
    <col min="16129" max="16129" width="6.28515625" style="238" customWidth="1"/>
    <col min="16130" max="16130" width="11.7109375" style="238" customWidth="1"/>
    <col min="16131" max="16131" width="9.85546875" style="238" customWidth="1"/>
    <col min="16132" max="16132" width="12.42578125" style="238" customWidth="1"/>
    <col min="16133" max="16133" width="13.28515625" style="238" customWidth="1"/>
    <col min="16134" max="16134" width="12.42578125" style="238" customWidth="1"/>
    <col min="16135" max="16135" width="11.85546875" style="238" customWidth="1"/>
    <col min="16136" max="16138" width="11.42578125" style="238"/>
    <col min="16139" max="16139" width="6.7109375" style="238" customWidth="1"/>
    <col min="16140" max="16384" width="11.42578125" style="238"/>
  </cols>
  <sheetData>
    <row r="1" spans="1:10">
      <c r="A1" s="3" t="s">
        <v>499</v>
      </c>
    </row>
    <row r="2" spans="1:10">
      <c r="A2" s="238" t="s">
        <v>469</v>
      </c>
    </row>
    <row r="4" spans="1:10" ht="18" customHeight="1">
      <c r="B4" s="1332" t="s">
        <v>163</v>
      </c>
      <c r="C4" s="1332"/>
      <c r="D4" s="1332"/>
      <c r="E4" s="1332"/>
      <c r="F4" s="1332"/>
      <c r="G4" s="1332"/>
      <c r="H4" s="1332"/>
      <c r="I4" s="1332"/>
      <c r="J4" s="1332"/>
    </row>
    <row r="5" spans="1:10" ht="18" customHeight="1">
      <c r="B5" s="1332"/>
      <c r="C5" s="1332"/>
      <c r="D5" s="1332"/>
      <c r="E5" s="1332"/>
      <c r="F5" s="1332"/>
      <c r="G5" s="1332"/>
      <c r="H5" s="1332"/>
      <c r="I5" s="1332"/>
      <c r="J5" s="1332"/>
    </row>
    <row r="6" spans="1:10" ht="15.75">
      <c r="B6" s="1294" t="s">
        <v>452</v>
      </c>
      <c r="C6" s="1294"/>
      <c r="D6" s="1294"/>
      <c r="E6" s="1294"/>
      <c r="F6" s="1294"/>
      <c r="G6" s="1294"/>
      <c r="H6" s="1294"/>
      <c r="I6" s="1294"/>
      <c r="J6" s="1294"/>
    </row>
    <row r="7" spans="1:10" ht="15.75">
      <c r="B7" s="1294" t="s">
        <v>327</v>
      </c>
      <c r="C7" s="1294"/>
      <c r="D7" s="1294"/>
      <c r="E7" s="1294"/>
      <c r="F7" s="1294"/>
      <c r="G7" s="1294"/>
      <c r="H7" s="1294"/>
      <c r="I7" s="1294"/>
      <c r="J7" s="1294"/>
    </row>
    <row r="8" spans="1:10">
      <c r="B8" s="1237" t="s">
        <v>453</v>
      </c>
      <c r="C8" s="1237"/>
      <c r="D8" s="1237"/>
      <c r="E8" s="1237"/>
      <c r="F8" s="1237"/>
      <c r="G8" s="1237"/>
      <c r="H8" s="1237"/>
      <c r="I8" s="1237"/>
      <c r="J8" s="1237"/>
    </row>
    <row r="9" spans="1:10" ht="17.25" customHeight="1" thickBot="1">
      <c r="B9" s="245"/>
      <c r="C9" s="245"/>
      <c r="D9" s="245"/>
      <c r="E9" s="245"/>
      <c r="F9" s="245"/>
      <c r="G9" s="245"/>
      <c r="H9" s="245"/>
    </row>
    <row r="10" spans="1:10" ht="30" customHeight="1">
      <c r="B10" s="1295" t="s">
        <v>164</v>
      </c>
      <c r="C10" s="246"/>
      <c r="D10" s="246"/>
      <c r="E10" s="1298" t="s">
        <v>454</v>
      </c>
      <c r="F10" s="1298"/>
      <c r="G10" s="1298"/>
      <c r="H10" s="1298"/>
      <c r="I10" s="1298"/>
      <c r="J10" s="1333"/>
    </row>
    <row r="11" spans="1:10">
      <c r="B11" s="1296"/>
      <c r="C11" s="247"/>
      <c r="D11" s="247"/>
      <c r="E11" s="248" t="s">
        <v>165</v>
      </c>
      <c r="F11" s="247"/>
      <c r="G11" s="248" t="s">
        <v>166</v>
      </c>
      <c r="H11" s="247"/>
      <c r="I11" s="248" t="s">
        <v>167</v>
      </c>
      <c r="J11" s="250"/>
    </row>
    <row r="12" spans="1:10">
      <c r="B12" s="1296"/>
      <c r="C12" s="247"/>
      <c r="D12" s="247"/>
      <c r="E12" s="313" t="s">
        <v>168</v>
      </c>
      <c r="F12" s="313" t="s">
        <v>169</v>
      </c>
      <c r="G12" s="313" t="s">
        <v>168</v>
      </c>
      <c r="H12" s="313" t="s">
        <v>169</v>
      </c>
      <c r="I12" s="313" t="s">
        <v>168</v>
      </c>
      <c r="J12" s="314" t="s">
        <v>169</v>
      </c>
    </row>
    <row r="13" spans="1:10" ht="13.5" thickBot="1">
      <c r="B13" s="1297"/>
      <c r="C13" s="252"/>
      <c r="D13" s="252"/>
      <c r="E13" s="253" t="s">
        <v>170</v>
      </c>
      <c r="F13" s="253" t="s">
        <v>171</v>
      </c>
      <c r="G13" s="253" t="s">
        <v>170</v>
      </c>
      <c r="H13" s="253" t="s">
        <v>171</v>
      </c>
      <c r="I13" s="253" t="s">
        <v>170</v>
      </c>
      <c r="J13" s="254" t="s">
        <v>171</v>
      </c>
    </row>
    <row r="14" spans="1:10">
      <c r="B14" s="315"/>
      <c r="C14" s="247"/>
      <c r="D14" s="247"/>
      <c r="E14" s="316"/>
      <c r="F14" s="316"/>
      <c r="G14" s="316"/>
      <c r="H14" s="316"/>
      <c r="I14" s="316"/>
      <c r="J14" s="316"/>
    </row>
    <row r="15" spans="1:10">
      <c r="B15" s="268">
        <v>2000</v>
      </c>
      <c r="C15" s="251" t="s">
        <v>455</v>
      </c>
      <c r="D15" s="247"/>
      <c r="E15" s="256">
        <v>602.32533236863515</v>
      </c>
      <c r="F15" s="316"/>
      <c r="G15" s="256">
        <v>602.32533236863515</v>
      </c>
      <c r="H15" s="316"/>
      <c r="I15" s="256">
        <v>602.32533236863515</v>
      </c>
      <c r="J15" s="316"/>
    </row>
    <row r="16" spans="1:10">
      <c r="B16" s="268">
        <v>2001</v>
      </c>
      <c r="C16" s="1334" t="s">
        <v>172</v>
      </c>
      <c r="D16" s="247"/>
      <c r="E16" s="256">
        <v>564.43251333996545</v>
      </c>
      <c r="F16" s="316"/>
      <c r="G16" s="256">
        <v>564.43251333996545</v>
      </c>
      <c r="H16" s="316"/>
      <c r="I16" s="256">
        <v>564.43251333996545</v>
      </c>
      <c r="J16" s="316"/>
    </row>
    <row r="17" spans="2:14">
      <c r="B17" s="268">
        <v>2002</v>
      </c>
      <c r="C17" s="1334"/>
      <c r="D17" s="247"/>
      <c r="E17" s="256">
        <v>549.63836483675482</v>
      </c>
      <c r="F17" s="316"/>
      <c r="G17" s="256">
        <v>549.63836483675482</v>
      </c>
      <c r="H17" s="316"/>
      <c r="I17" s="256">
        <v>549.63836483675482</v>
      </c>
      <c r="J17" s="316"/>
    </row>
    <row r="18" spans="2:14">
      <c r="B18" s="268">
        <v>2003</v>
      </c>
      <c r="C18" s="1334"/>
      <c r="D18" s="247"/>
      <c r="E18" s="256">
        <v>530.93944107804998</v>
      </c>
      <c r="F18" s="316"/>
      <c r="G18" s="256">
        <v>530.93944107804998</v>
      </c>
      <c r="H18" s="316"/>
      <c r="I18" s="256">
        <v>530.93944107804998</v>
      </c>
      <c r="J18" s="316"/>
      <c r="N18" s="694">
        <v>589.20000000000005</v>
      </c>
    </row>
    <row r="19" spans="2:14">
      <c r="B19" s="238">
        <v>2004</v>
      </c>
      <c r="C19" s="1334"/>
      <c r="E19" s="256">
        <v>541.9938048295196</v>
      </c>
      <c r="F19" s="255"/>
      <c r="G19" s="256">
        <v>541.9938048295196</v>
      </c>
      <c r="H19" s="255"/>
      <c r="I19" s="256">
        <v>541.9938048295196</v>
      </c>
      <c r="J19" s="255"/>
      <c r="N19" s="694">
        <v>555.6</v>
      </c>
    </row>
    <row r="20" spans="2:14">
      <c r="B20" s="238">
        <v>2005</v>
      </c>
      <c r="C20" s="1334"/>
      <c r="E20" s="256">
        <v>564.76249434747217</v>
      </c>
      <c r="F20" s="255"/>
      <c r="G20" s="256">
        <v>564.76249434747217</v>
      </c>
      <c r="H20" s="255"/>
      <c r="I20" s="256">
        <v>564.76249434747217</v>
      </c>
      <c r="J20" s="255"/>
      <c r="N20" s="694">
        <v>540.98322128032737</v>
      </c>
    </row>
    <row r="21" spans="2:14">
      <c r="B21" s="247">
        <v>2006</v>
      </c>
      <c r="C21" s="1334"/>
      <c r="D21" s="257"/>
      <c r="E21" s="256">
        <v>586.65123451207376</v>
      </c>
      <c r="F21" s="317">
        <f>E21/E20-1</f>
        <v>3.875742526049275E-2</v>
      </c>
      <c r="G21" s="256">
        <v>586.65123451207376</v>
      </c>
      <c r="H21" s="317">
        <f>G21/G20-1</f>
        <v>3.875742526049275E-2</v>
      </c>
      <c r="I21" s="256">
        <v>586.65123451207376</v>
      </c>
      <c r="J21" s="317">
        <f>I21/I20-1</f>
        <v>3.875742526049275E-2</v>
      </c>
      <c r="N21" s="694">
        <v>522.63104355451617</v>
      </c>
    </row>
    <row r="22" spans="2:14">
      <c r="B22" s="247">
        <v>2007</v>
      </c>
      <c r="C22" s="1334"/>
      <c r="D22" s="257"/>
      <c r="E22" s="256">
        <v>619.64933526272944</v>
      </c>
      <c r="F22" s="317">
        <f>E22/E21-1</f>
        <v>5.6248242242429969E-2</v>
      </c>
      <c r="G22" s="256">
        <v>619.64933526272944</v>
      </c>
      <c r="H22" s="317">
        <f>G22/G21-1</f>
        <v>5.6248242242429969E-2</v>
      </c>
      <c r="I22" s="256">
        <v>619.64933526272944</v>
      </c>
      <c r="J22" s="317">
        <f>I22/I21-1</f>
        <v>5.6248242242429969E-2</v>
      </c>
      <c r="N22" s="694">
        <v>533.51242326805016</v>
      </c>
    </row>
    <row r="23" spans="2:14">
      <c r="B23" s="247">
        <f>B22+1</f>
        <v>2008</v>
      </c>
      <c r="C23" s="1334"/>
      <c r="D23" s="247"/>
      <c r="E23" s="256">
        <v>643.95870610473014</v>
      </c>
      <c r="F23" s="317">
        <f>E23/E22-1</f>
        <v>3.923085115824998E-2</v>
      </c>
      <c r="G23" s="256">
        <v>643.95870610473014</v>
      </c>
      <c r="H23" s="317">
        <f>G23/G22-1</f>
        <v>3.923085115824998E-2</v>
      </c>
      <c r="I23" s="256">
        <v>643.95870610473014</v>
      </c>
      <c r="J23" s="317">
        <f>I23/I22-1</f>
        <v>3.923085115824998E-2</v>
      </c>
      <c r="N23" s="694">
        <v>555.92481730488157</v>
      </c>
    </row>
    <row r="24" spans="2:14" ht="12.75" customHeight="1">
      <c r="B24" s="247">
        <f>B23+1</f>
        <v>2009</v>
      </c>
      <c r="C24" s="1334"/>
      <c r="D24" s="257"/>
      <c r="E24" s="256">
        <v>640.10815772813612</v>
      </c>
      <c r="F24" s="317">
        <f>E24/E23-1</f>
        <v>-5.9794957969987461E-3</v>
      </c>
      <c r="G24" s="256">
        <v>640.10815772813612</v>
      </c>
      <c r="H24" s="317">
        <f>G24/G23-1</f>
        <v>-5.9794957969987461E-3</v>
      </c>
      <c r="I24" s="256">
        <v>640.10815772813612</v>
      </c>
      <c r="J24" s="317">
        <f>I24/I23-1</f>
        <v>-5.9794957969987461E-3</v>
      </c>
      <c r="N24" s="694">
        <v>577.47103186202855</v>
      </c>
    </row>
    <row r="25" spans="2:14" ht="12.75" customHeight="1">
      <c r="B25" s="702">
        <f>B24+1</f>
        <v>2010</v>
      </c>
      <c r="C25" s="740" t="s">
        <v>260</v>
      </c>
      <c r="D25" s="700"/>
      <c r="E25" s="701">
        <v>645.71783485574758</v>
      </c>
      <c r="F25" s="741">
        <f>E25/E24-1</f>
        <v>8.7636394879284651E-3</v>
      </c>
      <c r="G25" s="701">
        <v>645.71783485574758</v>
      </c>
      <c r="H25" s="741">
        <f>G25/G24-1</f>
        <v>8.7636394879284651E-3</v>
      </c>
      <c r="I25" s="701">
        <v>645.71783485574758</v>
      </c>
      <c r="J25" s="741">
        <f>I25/I24-1</f>
        <v>8.7636394879284651E-3</v>
      </c>
      <c r="L25" s="263"/>
      <c r="N25" s="694">
        <v>609.41140017538714</v>
      </c>
    </row>
    <row r="26" spans="2:14" ht="12.75" customHeight="1">
      <c r="B26" s="742">
        <f>B25+1</f>
        <v>2011</v>
      </c>
      <c r="C26" s="1335" t="s">
        <v>456</v>
      </c>
      <c r="D26" s="703"/>
      <c r="E26" s="743">
        <v>682.80776046817687</v>
      </c>
      <c r="F26" s="744">
        <f t="shared" ref="F26:H38" si="0">E26/E25-1</f>
        <v>5.7439834569096515E-2</v>
      </c>
      <c r="G26" s="743">
        <v>682.80776046817687</v>
      </c>
      <c r="H26" s="744">
        <f t="shared" si="0"/>
        <v>5.7439834569096515E-2</v>
      </c>
      <c r="I26" s="743">
        <v>682.80776046817687</v>
      </c>
      <c r="J26" s="744">
        <f t="shared" ref="J26:J40" si="1">I26/I25-1</f>
        <v>5.7439834569096515E-2</v>
      </c>
      <c r="L26" s="263"/>
      <c r="N26" s="694">
        <v>619.80555393159887</v>
      </c>
    </row>
    <row r="27" spans="2:14">
      <c r="B27" s="745">
        <v>2012</v>
      </c>
      <c r="C27" s="1336"/>
      <c r="D27" s="259"/>
      <c r="E27" s="746">
        <f>E26*('[1]Est. PIB MANUFACTURA ACP1996Mod'!E23/'[1]Est. PIB MANUFACTURA ACP1996Mod'!E22)</f>
        <v>693.09179091552562</v>
      </c>
      <c r="F27" s="747">
        <f t="shared" si="0"/>
        <v>1.5061384832968816E-2</v>
      </c>
      <c r="G27" s="746">
        <f>G26*('[1]Est. PIB MANUFACTURA ACP1996Mod'!G23/'[1]Est. PIB MANUFACTURA ACP1996Mod'!G22)</f>
        <v>709.59404165455612</v>
      </c>
      <c r="H27" s="747">
        <f t="shared" si="0"/>
        <v>3.9229608591461851E-2</v>
      </c>
      <c r="I27" s="746">
        <f>I26*('[1]Est. PIB MANUFACTURA ACP1996Mod'!I23/'[1]Est. PIB MANUFACTURA ACP1996Mod'!I22)</f>
        <v>678.72572585951923</v>
      </c>
      <c r="J27" s="747">
        <f t="shared" si="1"/>
        <v>-5.9783072849944885E-3</v>
      </c>
      <c r="L27" s="263"/>
    </row>
    <row r="28" spans="2:14" ht="12.75" customHeight="1">
      <c r="B28" s="238">
        <v>2013</v>
      </c>
      <c r="C28" s="1337" t="s">
        <v>174</v>
      </c>
      <c r="D28" s="441"/>
      <c r="E28" s="748">
        <f>E27*('[1]Est. PIB MANUFACTURA ACP1996Mod'!E24/'[1]Est. PIB MANUFACTURA ACP1996Mod'!E23)</f>
        <v>691.17186905703386</v>
      </c>
      <c r="F28" s="261">
        <f t="shared" si="0"/>
        <v>-2.7700831024930483E-3</v>
      </c>
      <c r="G28" s="748">
        <f>G27*('[1]Est. PIB MANUFACTURA ACP1996Mod'!G24/'[1]Est. PIB MANUFACTURA ACP1996Mod'!G23)</f>
        <v>717.79428096489391</v>
      </c>
      <c r="H28" s="261">
        <f t="shared" si="0"/>
        <v>1.1556240369799742E-2</v>
      </c>
      <c r="I28" s="748">
        <f>I27*('[1]Est. PIB MANUFACTURA ACP1996Mod'!I24/'[1]Est. PIB MANUFACTURA ACP1996Mod'!I23)</f>
        <v>680.68736090535606</v>
      </c>
      <c r="J28" s="261">
        <f t="shared" si="1"/>
        <v>2.8901734104047616E-3</v>
      </c>
      <c r="L28" s="263"/>
    </row>
    <row r="29" spans="2:14">
      <c r="B29" s="238">
        <f>B28+1</f>
        <v>2014</v>
      </c>
      <c r="C29" s="1331"/>
      <c r="D29" s="441"/>
      <c r="E29" s="290">
        <f>E28*('[1]Est. PIB MANUFACTURA ACP1996Mod'!E25/'[1]Est. PIB MANUFACTURA ACP1996Mod'!E24)</f>
        <v>718.32504962713153</v>
      </c>
      <c r="F29" s="261">
        <f t="shared" si="0"/>
        <v>3.9285714285714146E-2</v>
      </c>
      <c r="G29" s="290">
        <f>G28*('[1]Est. PIB MANUFACTURA ACP1996Mod'!G25/'[1]Est. PIB MANUFACTURA ACP1996Mod'!G24)</f>
        <v>751.96194475796767</v>
      </c>
      <c r="H29" s="261">
        <f t="shared" si="0"/>
        <v>4.7600913937547507E-2</v>
      </c>
      <c r="I29" s="290">
        <f>I28*('[1]Est. PIB MANUFACTURA ACP1996Mod'!I25/'[1]Est. PIB MANUFACTURA ACP1996Mod'!I24)</f>
        <v>706.4688500792106</v>
      </c>
      <c r="J29" s="261">
        <f t="shared" si="1"/>
        <v>3.7875668999588274E-2</v>
      </c>
      <c r="L29" s="263"/>
    </row>
    <row r="30" spans="2:14">
      <c r="B30" s="238">
        <f t="shared" ref="B30:B42" si="2">B29+1</f>
        <v>2015</v>
      </c>
      <c r="C30" s="1331"/>
      <c r="D30" s="441"/>
      <c r="E30" s="290">
        <f>E29*('[1]Est. PIB MANUFACTURA ACP1996Mod'!E26/'[1]Est. PIB MANUFACTURA ACP1996Mod'!E25)</f>
        <v>775.09988172824512</v>
      </c>
      <c r="F30" s="261">
        <f t="shared" si="0"/>
        <v>7.9037800687285387E-2</v>
      </c>
      <c r="G30" s="290">
        <f>G29*('[1]Est. PIB MANUFACTURA ACP1996Mod'!G26/'[1]Est. PIB MANUFACTURA ACP1996Mod'!G25)</f>
        <v>823.3040267579056</v>
      </c>
      <c r="H30" s="261">
        <f t="shared" si="0"/>
        <v>9.4874591057797053E-2</v>
      </c>
      <c r="I30" s="290">
        <f>I29*('[1]Est. PIB MANUFACTURA ACP1996Mod'!I26/'[1]Est. PIB MANUFACTURA ACP1996Mod'!I25)</f>
        <v>754.10855833524636</v>
      </c>
      <c r="J30" s="261">
        <f t="shared" si="1"/>
        <v>6.7433558111860581E-2</v>
      </c>
      <c r="L30" s="263"/>
    </row>
    <row r="31" spans="2:14">
      <c r="B31" s="238">
        <f t="shared" si="2"/>
        <v>2016</v>
      </c>
      <c r="C31" s="1331"/>
      <c r="D31" s="441"/>
      <c r="E31" s="290">
        <f>E30*('[1]Est. PIB MANUFACTURA ACP1996Mod'!E27/'[1]Est. PIB MANUFACTURA ACP1996Mod'!E26)</f>
        <v>800.33314043985115</v>
      </c>
      <c r="F31" s="261">
        <f t="shared" si="0"/>
        <v>3.2554847841472112E-2</v>
      </c>
      <c r="G31" s="290">
        <f>G30*('[1]Est. PIB MANUFACTURA ACP1996Mod'!G27/'[1]Est. PIB MANUFACTURA ACP1996Mod'!G26)</f>
        <v>862.93851675787118</v>
      </c>
      <c r="H31" s="261">
        <f t="shared" si="0"/>
        <v>4.8140770252323994E-2</v>
      </c>
      <c r="I31" s="290">
        <f>I30*('[1]Est. PIB MANUFACTURA ACP1996Mod'!I27/'[1]Est. PIB MANUFACTURA ACP1996Mod'!I26)</f>
        <v>771.20280659182379</v>
      </c>
      <c r="J31" s="261">
        <f t="shared" si="1"/>
        <v>2.2668153102935573E-2</v>
      </c>
      <c r="L31" s="263"/>
    </row>
    <row r="32" spans="2:14">
      <c r="B32" s="238">
        <f t="shared" si="2"/>
        <v>2017</v>
      </c>
      <c r="C32" s="1331"/>
      <c r="D32" s="441"/>
      <c r="E32" s="290">
        <f>E31*('[1]Est. PIB MANUFACTURA ACP1996Mod'!E28/'[1]Est. PIB MANUFACTURA ACP1996Mod'!E27)</f>
        <v>829.95479197086695</v>
      </c>
      <c r="F32" s="261">
        <f t="shared" si="0"/>
        <v>3.7011651816312607E-2</v>
      </c>
      <c r="G32" s="290">
        <f>G31*('[1]Est. PIB MANUFACTURA ACP1996Mod'!G28/'[1]Est. PIB MANUFACTURA ACP1996Mod'!G27)</f>
        <v>902.57300675783677</v>
      </c>
      <c r="H32" s="261">
        <f t="shared" si="0"/>
        <v>4.5929680076021606E-2</v>
      </c>
      <c r="I32" s="290">
        <f>I31*('[1]Est. PIB MANUFACTURA ACP1996Mod'!I28/'[1]Est. PIB MANUFACTURA ACP1996Mod'!I27)</f>
        <v>795.58312787579484</v>
      </c>
      <c r="J32" s="261">
        <f t="shared" si="1"/>
        <v>3.1613372093023173E-2</v>
      </c>
      <c r="L32" s="263"/>
    </row>
    <row r="33" spans="2:12">
      <c r="B33" s="238">
        <f t="shared" si="2"/>
        <v>2018</v>
      </c>
      <c r="C33" s="1331"/>
      <c r="D33" s="441"/>
      <c r="E33" s="290">
        <f>E32*('[1]Est. PIB MANUFACTURA ACP1996Mod'!E29/'[1]Est. PIB MANUFACTURA ACP1996Mod'!E28)</f>
        <v>864.51338542371855</v>
      </c>
      <c r="F33" s="261">
        <f t="shared" si="0"/>
        <v>4.1639127561136746E-2</v>
      </c>
      <c r="G33" s="290">
        <f>G32*('[1]Est. PIB MANUFACTURA ACP1996Mod'!G29/'[1]Est. PIB MANUFACTURA ACP1996Mod'!G28)</f>
        <v>948.2210055853833</v>
      </c>
      <c r="H33" s="261">
        <f t="shared" si="0"/>
        <v>5.0575408843125391E-2</v>
      </c>
      <c r="I33" s="290">
        <f>I32*('[1]Est. PIB MANUFACTURA ACP1996Mod'!I29/'[1]Est. PIB MANUFACTURA ACP1996Mod'!I28)</f>
        <v>823.88671925143967</v>
      </c>
      <c r="J33" s="261">
        <f t="shared" si="1"/>
        <v>3.5575907009510521E-2</v>
      </c>
      <c r="L33" s="263"/>
    </row>
    <row r="34" spans="2:12">
      <c r="B34" s="238">
        <f t="shared" si="2"/>
        <v>2019</v>
      </c>
      <c r="C34" s="1331"/>
      <c r="D34" s="441"/>
      <c r="E34" s="290">
        <f>E33*('[1]Est. PIB MANUFACTURA ACP1996Mod'!E30/'[1]Est. PIB MANUFACTURA ACP1996Mod'!E29)</f>
        <v>897.70060612050474</v>
      </c>
      <c r="F34" s="261">
        <f t="shared" si="0"/>
        <v>3.8388324873096513E-2</v>
      </c>
      <c r="G34" s="290">
        <f>G33*('[1]Est. PIB MANUFACTURA ACP1996Mod'!G30/'[1]Est. PIB MANUFACTURA ACP1996Mod'!G29)</f>
        <v>993.86900441292994</v>
      </c>
      <c r="H34" s="261">
        <f t="shared" si="0"/>
        <v>4.8140674545978701E-2</v>
      </c>
      <c r="I34" s="290">
        <f>I33*('[1]Est. PIB MANUFACTURA ACP1996Mod'!I30/'[1]Est. PIB MANUFACTURA ACP1996Mod'!I29)</f>
        <v>850.78914273720113</v>
      </c>
      <c r="J34" s="261">
        <f t="shared" si="1"/>
        <v>3.2653061224489965E-2</v>
      </c>
      <c r="L34" s="263"/>
    </row>
    <row r="35" spans="2:12">
      <c r="B35" s="238">
        <f t="shared" si="2"/>
        <v>2020</v>
      </c>
      <c r="C35" s="1331"/>
      <c r="D35" s="441"/>
      <c r="E35" s="290">
        <f>E34*('[1]Est. PIB MANUFACTURA ACP1996Mod'!E31/'[1]Est. PIB MANUFACTURA ACP1996Mod'!E30)</f>
        <v>935.27621963670072</v>
      </c>
      <c r="F35" s="261">
        <f t="shared" si="0"/>
        <v>4.1857622975863151E-2</v>
      </c>
      <c r="G35" s="290">
        <f>G34*('[1]Est. PIB MANUFACTURA ACP1996Mod'!G31/'[1]Est. PIB MANUFACTURA ACP1996Mod'!G30)</f>
        <v>1043.3437815853006</v>
      </c>
      <c r="H35" s="261">
        <f t="shared" si="0"/>
        <v>4.9779977997799651E-2</v>
      </c>
      <c r="I35" s="290">
        <f>I34*('[1]Est. PIB MANUFACTURA ACP1996Mod'!I31/'[1]Est. PIB MANUFACTURA ACP1996Mod'!I30)</f>
        <v>881.61483631463591</v>
      </c>
      <c r="J35" s="261">
        <f t="shared" si="1"/>
        <v>3.6231884057970953E-2</v>
      </c>
      <c r="L35" s="263"/>
    </row>
    <row r="36" spans="2:12">
      <c r="B36" s="238">
        <f t="shared" si="2"/>
        <v>2021</v>
      </c>
      <c r="C36" s="1331"/>
      <c r="D36" s="441"/>
      <c r="E36" s="290">
        <f>E35*('[1]Est. PIB MANUFACTURA ACP1996Mod'!E32/'[1]Est. PIB MANUFACTURA ACP1996Mod'!E31)</f>
        <v>969.83481308955254</v>
      </c>
      <c r="F36" s="261">
        <f t="shared" si="0"/>
        <v>3.6950146627566127E-2</v>
      </c>
      <c r="G36" s="290">
        <f>G35*('[1]Est. PIB MANUFACTURA ACP1996Mod'!G32/'[1]Est. PIB MANUFACTURA ACP1996Mod'!G31)</f>
        <v>1091.1785108956037</v>
      </c>
      <c r="H36" s="261">
        <f t="shared" si="0"/>
        <v>4.5847524233691317E-2</v>
      </c>
      <c r="I36" s="290">
        <f>I35*('[1]Est. PIB MANUFACTURA ACP1996Mod'!I32/'[1]Est. PIB MANUFACTURA ACP1996Mod'!I31)</f>
        <v>909.07772695635038</v>
      </c>
      <c r="J36" s="261">
        <f t="shared" si="1"/>
        <v>3.115066751430362E-2</v>
      </c>
      <c r="L36" s="263"/>
    </row>
    <row r="37" spans="2:12">
      <c r="B37" s="238">
        <f t="shared" si="2"/>
        <v>2022</v>
      </c>
      <c r="C37" s="1331"/>
      <c r="D37" s="441"/>
      <c r="E37" s="290">
        <f>E36*('[1]Est. PIB MANUFACTURA ACP1996Mod'!E33/'[1]Est. PIB MANUFACTURA ACP1996Mod'!E32)</f>
        <v>1003.0220337863386</v>
      </c>
      <c r="F37" s="261">
        <f t="shared" si="0"/>
        <v>3.4219457013574539E-2</v>
      </c>
      <c r="G37" s="290">
        <f>G36*('[1]Est. PIB MANUFACTURA ACP1996Mod'!G33/'[1]Est. PIB MANUFACTURA ACP1996Mod'!G32)</f>
        <v>1144.2067251024544</v>
      </c>
      <c r="H37" s="261">
        <f t="shared" si="0"/>
        <v>4.8597194388777742E-2</v>
      </c>
      <c r="I37" s="290">
        <f>I36*('[1]Est. PIB MANUFACTURA ACP1996Mod'!I33/'[1]Est. PIB MANUFACTURA ACP1996Mod'!I32)</f>
        <v>935.69991686413493</v>
      </c>
      <c r="J37" s="261">
        <f t="shared" si="1"/>
        <v>2.9284833538840926E-2</v>
      </c>
      <c r="L37" s="263"/>
    </row>
    <row r="38" spans="2:12">
      <c r="B38" s="238">
        <f t="shared" si="2"/>
        <v>2023</v>
      </c>
      <c r="C38" s="1331"/>
      <c r="D38" s="441"/>
      <c r="E38" s="290">
        <f>E37*('[1]Est. PIB MANUFACTURA ACP1996Mod'!E34/'[1]Est. PIB MANUFACTURA ACP1996Mod'!E33)</f>
        <v>1033.4665089709936</v>
      </c>
      <c r="F38" s="261">
        <f t="shared" si="0"/>
        <v>3.0352748154224729E-2</v>
      </c>
      <c r="G38" s="290">
        <f>G37*('[1]Est. PIB MANUFACTURA ACP1996Mod'!G34/'[1]Est. PIB MANUFACTURA ACP1996Mod'!G33)</f>
        <v>1198.0549632403386</v>
      </c>
      <c r="H38" s="261">
        <f t="shared" si="0"/>
        <v>4.7061634018155774E-2</v>
      </c>
      <c r="I38" s="290">
        <f>I37*('[1]Est. PIB MANUFACTURA ACP1996Mod'!I34/'[1]Est. PIB MANUFACTURA ACP1996Mod'!I33)</f>
        <v>959.51977099215287</v>
      </c>
      <c r="J38" s="261">
        <f t="shared" si="1"/>
        <v>2.5456723569931228E-2</v>
      </c>
      <c r="L38" s="263"/>
    </row>
    <row r="39" spans="2:12">
      <c r="B39" s="238">
        <f t="shared" si="2"/>
        <v>2024</v>
      </c>
      <c r="C39" s="1331"/>
      <c r="D39" s="441"/>
      <c r="E39" s="290">
        <f>E38*('[1]Est. PIB MANUFACTURA ACP1996Mod'!E35/'[1]Est. PIB MANUFACTURA ACP1996Mod'!E34)</f>
        <v>1087.2243210087627</v>
      </c>
      <c r="F39" s="261">
        <f>E39/E38-1</f>
        <v>5.2016985138004124E-2</v>
      </c>
      <c r="G39" s="290">
        <f>G38*('[1]Est. PIB MANUFACTURA ACP1996Mod'!G35/'[1]Est. PIB MANUFACTURA ACP1996Mod'!G34)</f>
        <v>1264.476901654074</v>
      </c>
      <c r="H39" s="261">
        <f>G39/G38-1</f>
        <v>5.544147843942504E-2</v>
      </c>
      <c r="I39" s="290">
        <f>I38*('[1]Est. PIB MANUFACTURA ACP1996Mod'!I35/'[1]Est. PIB MANUFACTURA ACP1996Mod'!I34)</f>
        <v>1002.6757420005617</v>
      </c>
      <c r="J39" s="261">
        <f t="shared" si="1"/>
        <v>4.497663551401887E-2</v>
      </c>
      <c r="L39" s="263"/>
    </row>
    <row r="40" spans="2:12">
      <c r="B40" s="238">
        <f t="shared" si="2"/>
        <v>2025</v>
      </c>
      <c r="C40" s="1331"/>
      <c r="D40" s="441"/>
      <c r="E40" s="290">
        <f>E39*('[1]Est. PIB MANUFACTURA ACP1996Mod'!E36/'[1]Est. PIB MANUFACTURA ACP1996Mod'!E35)</f>
        <v>1124.5256599737454</v>
      </c>
      <c r="F40" s="261">
        <f>E40/E39-1</f>
        <v>3.4308779011099855E-2</v>
      </c>
      <c r="G40" s="290">
        <f>G39*('[1]Est. PIB MANUFACTURA ACP1996Mod'!G36/'[1]Est. PIB MANUFACTURA ACP1996Mod'!G35)</f>
        <v>1319.4185050333365</v>
      </c>
      <c r="H40" s="261">
        <f>G40/G39-1</f>
        <v>4.3450064850842907E-2</v>
      </c>
      <c r="I40" s="290">
        <f>I39*('[1]Est. PIB MANUFACTURA ACP1996Mod'!I36/'[1]Est. PIB MANUFACTURA ACP1996Mod'!I35)</f>
        <v>1030.418866220253</v>
      </c>
      <c r="J40" s="261">
        <f t="shared" si="1"/>
        <v>2.766908887646724E-2</v>
      </c>
      <c r="L40" s="263"/>
    </row>
    <row r="41" spans="2:12">
      <c r="B41" s="238">
        <f t="shared" si="2"/>
        <v>2026</v>
      </c>
      <c r="C41" s="1331"/>
      <c r="D41" s="441"/>
      <c r="E41" s="290">
        <f>E40*('[1]Est. PIB MANUFACTURA ACP1996Mod'!E37/'[1]Est. PIB MANUFACTURA ACP1996Mod'!E36)</f>
        <v>1166.7431649647988</v>
      </c>
      <c r="F41" s="261">
        <f>E41/E40-1</f>
        <v>3.7542500357029773E-2</v>
      </c>
      <c r="G41" s="290">
        <f>G40*('[1]Est. PIB MANUFACTURA ACP1996Mod'!G37/'[1]Est. PIB MANUFACTURA ACP1996Mod'!G36)</f>
        <v>1382.8453020524857</v>
      </c>
      <c r="H41" s="261">
        <f>G41/G40-1</f>
        <v>4.8071780695198463E-2</v>
      </c>
      <c r="I41" s="290">
        <f>I40*('[1]Est. PIB MANUFACTURA ACP1996Mod'!I37/'[1]Est. PIB MANUFACTURA ACP1996Mod'!I36)</f>
        <v>1063.0673601774779</v>
      </c>
      <c r="J41" s="261">
        <f>I41/I40-1</f>
        <v>3.1684681858538788E-2</v>
      </c>
      <c r="L41" s="263"/>
    </row>
    <row r="42" spans="2:12">
      <c r="B42" s="238">
        <f t="shared" si="2"/>
        <v>2027</v>
      </c>
      <c r="C42" s="1002"/>
      <c r="D42" s="986"/>
      <c r="E42" s="290"/>
      <c r="F42" s="261"/>
      <c r="G42" s="290"/>
      <c r="H42" s="261"/>
      <c r="I42" s="290"/>
      <c r="J42" s="261"/>
      <c r="L42" s="263"/>
    </row>
    <row r="43" spans="2:12">
      <c r="B43" s="749"/>
      <c r="C43" s="749"/>
      <c r="D43" s="749"/>
      <c r="E43" s="750"/>
      <c r="F43" s="751"/>
      <c r="G43" s="750"/>
      <c r="H43" s="752"/>
      <c r="I43" s="749"/>
      <c r="J43" s="749"/>
      <c r="L43" s="263"/>
    </row>
    <row r="44" spans="2:12">
      <c r="E44" s="260"/>
      <c r="F44" s="265"/>
      <c r="G44" s="260"/>
      <c r="H44" s="264"/>
    </row>
    <row r="45" spans="2:12" ht="15.75">
      <c r="B45" s="266" t="s">
        <v>175</v>
      </c>
    </row>
    <row r="46" spans="2:12" ht="5.25" customHeight="1">
      <c r="B46" s="266"/>
    </row>
    <row r="47" spans="2:12">
      <c r="B47" s="267" t="s">
        <v>176</v>
      </c>
      <c r="C47" s="442" t="s">
        <v>177</v>
      </c>
      <c r="D47" s="442" t="s">
        <v>178</v>
      </c>
    </row>
    <row r="48" spans="2:12">
      <c r="B48" s="268" t="s">
        <v>179</v>
      </c>
      <c r="C48" s="269">
        <f>B38-B19</f>
        <v>19</v>
      </c>
      <c r="D48" s="270" t="s">
        <v>333</v>
      </c>
      <c r="E48" s="265"/>
      <c r="F48" s="271">
        <f>AVERAGE(F21:F41)</f>
        <v>3.532940499971688E-2</v>
      </c>
      <c r="G48" s="265"/>
      <c r="H48" s="271">
        <f>AVERAGE(H21:H40)</f>
        <v>4.353431292619736E-2</v>
      </c>
      <c r="J48" s="271">
        <f>AVERAGE(J21:J40)</f>
        <v>3.0698095832977508E-2</v>
      </c>
    </row>
    <row r="49" spans="2:10" ht="6" customHeight="1">
      <c r="B49" s="240"/>
      <c r="C49" s="269"/>
      <c r="E49" s="265"/>
      <c r="F49" s="271"/>
      <c r="G49" s="265"/>
      <c r="H49" s="271"/>
      <c r="J49" s="271"/>
    </row>
    <row r="50" spans="2:10">
      <c r="B50" s="240" t="s">
        <v>180</v>
      </c>
      <c r="C50" s="269">
        <f>B23-B19</f>
        <v>4</v>
      </c>
      <c r="D50" s="273" t="s">
        <v>457</v>
      </c>
      <c r="E50" s="265"/>
      <c r="F50" s="271">
        <f>RATE($B25-$B20,,-E20,E25)</f>
        <v>2.7153586333408083E-2</v>
      </c>
      <c r="G50" s="265"/>
      <c r="H50" s="271">
        <f>RATE($B25-$B20,,-G20,G25)</f>
        <v>2.7153586333408083E-2</v>
      </c>
      <c r="J50" s="271">
        <f>RATE($B25-$B20,,-I20,I25)</f>
        <v>2.7153586333408083E-2</v>
      </c>
    </row>
    <row r="51" spans="2:10">
      <c r="B51" s="240" t="s">
        <v>181</v>
      </c>
      <c r="C51" s="269">
        <f>B38-B23</f>
        <v>15</v>
      </c>
      <c r="D51" s="273" t="s">
        <v>458</v>
      </c>
      <c r="F51" s="271">
        <f>RATE($B41-$B27,,-E27,E41)</f>
        <v>3.7901253482963769E-2</v>
      </c>
      <c r="H51" s="271">
        <f>RATE($B41-$B27,,-G27,G41)</f>
        <v>4.8811408450174162E-2</v>
      </c>
      <c r="J51" s="271">
        <f>RATE($B40-$B27,,-I27,I41)</f>
        <v>3.511768534634787E-2</v>
      </c>
    </row>
    <row r="52" spans="2:10">
      <c r="B52" s="240" t="s">
        <v>182</v>
      </c>
      <c r="C52" s="269">
        <f>B27-B23</f>
        <v>4</v>
      </c>
      <c r="D52" s="273" t="s">
        <v>329</v>
      </c>
      <c r="F52" s="271">
        <f>RATE($B29-$B26,,-E26,E29)</f>
        <v>1.7046604839674521E-2</v>
      </c>
      <c r="H52" s="271">
        <f>RATE($B29-$B26,,-G26,G29)</f>
        <v>3.2680091697852125E-2</v>
      </c>
      <c r="J52" s="271">
        <f>RATE($B29-$B26,,-I26,I29)</f>
        <v>1.1419966978404352E-2</v>
      </c>
    </row>
    <row r="53" spans="2:10">
      <c r="B53" s="240" t="s">
        <v>183</v>
      </c>
      <c r="C53" s="269">
        <f>B33-B27</f>
        <v>6</v>
      </c>
      <c r="D53" s="273" t="s">
        <v>330</v>
      </c>
      <c r="F53" s="271">
        <f>RATE($B35-$B30,,-E30,E35)</f>
        <v>3.8284675926024019E-2</v>
      </c>
      <c r="H53" s="271">
        <f>RATE($B35-$B30,,-G30,G35)</f>
        <v>4.8512080263022166E-2</v>
      </c>
      <c r="J53" s="271">
        <f>RATE($B35-$B30,,-I30,I35)</f>
        <v>3.1736996863024509E-2</v>
      </c>
    </row>
    <row r="54" spans="2:10">
      <c r="B54" s="240" t="s">
        <v>184</v>
      </c>
      <c r="C54" s="269">
        <f>B38-B33</f>
        <v>5</v>
      </c>
      <c r="D54" s="273" t="s">
        <v>459</v>
      </c>
      <c r="F54" s="271">
        <f>RATE($B40-$B36,,-E36,E40)</f>
        <v>3.769064165332385E-2</v>
      </c>
      <c r="H54" s="271">
        <f>RATE($B40-$B36,,-G36,G40)</f>
        <v>4.8628583548847241E-2</v>
      </c>
      <c r="J54" s="271">
        <f>RATE($B40-$B36,,-I36,I40)</f>
        <v>3.1818228649813353E-2</v>
      </c>
    </row>
    <row r="58" spans="2:10">
      <c r="B58" s="238" t="s">
        <v>185</v>
      </c>
      <c r="C58" s="274" t="s">
        <v>460</v>
      </c>
    </row>
    <row r="59" spans="2:10">
      <c r="C59" s="274" t="s">
        <v>461</v>
      </c>
    </row>
    <row r="60" spans="2:10">
      <c r="C60" s="239" t="s">
        <v>462</v>
      </c>
    </row>
    <row r="61" spans="2:10">
      <c r="C61" s="318" t="s">
        <v>463</v>
      </c>
    </row>
    <row r="62" spans="2:10">
      <c r="C62" s="274" t="s">
        <v>464</v>
      </c>
    </row>
    <row r="63" spans="2:10">
      <c r="C63" s="274" t="s">
        <v>465</v>
      </c>
    </row>
    <row r="64" spans="2:10">
      <c r="C64" s="274" t="s">
        <v>466</v>
      </c>
    </row>
    <row r="65" spans="2:3">
      <c r="C65" s="274" t="s">
        <v>467</v>
      </c>
    </row>
    <row r="66" spans="2:3">
      <c r="C66" s="239" t="s">
        <v>440</v>
      </c>
    </row>
    <row r="68" spans="2:3">
      <c r="B68" s="238" t="s">
        <v>186</v>
      </c>
      <c r="C68" s="238" t="s">
        <v>187</v>
      </c>
    </row>
    <row r="69" spans="2:3">
      <c r="C69" s="238" t="s">
        <v>188</v>
      </c>
    </row>
  </sheetData>
  <mergeCells count="9">
    <mergeCell ref="C16:C24"/>
    <mergeCell ref="C26:C27"/>
    <mergeCell ref="C28:C41"/>
    <mergeCell ref="B4:J5"/>
    <mergeCell ref="B6:J6"/>
    <mergeCell ref="B7:J7"/>
    <mergeCell ref="B8:J8"/>
    <mergeCell ref="B10:B13"/>
    <mergeCell ref="E10:J10"/>
  </mergeCells>
  <printOptions horizontalCentered="1"/>
  <pageMargins left="0.39370078740157483" right="0.39370078740157483" top="0.98425196850393704" bottom="0.98425196850393704" header="0.59055118110236227" footer="0.59055118110236227"/>
  <pageSetup scale="75" orientation="portrait" r:id="rId1"/>
  <headerFooter alignWithMargins="0">
    <oddFooter>&amp;L&amp;8ESTUDIO  BASICO DE LA DEMANDA 2009-2023
&amp;D &amp;T&amp;R&amp;8&amp;F/ &amp;A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O89"/>
  <sheetViews>
    <sheetView topLeftCell="A60" workbookViewId="0">
      <selection activeCell="D64" sqref="D64"/>
    </sheetView>
  </sheetViews>
  <sheetFormatPr baseColWidth="10" defaultRowHeight="12.75"/>
  <cols>
    <col min="1" max="1" width="10.140625" style="238" customWidth="1"/>
    <col min="2" max="2" width="7.7109375" style="238" bestFit="1" customWidth="1"/>
    <col min="3" max="3" width="9.140625" style="238" customWidth="1"/>
    <col min="4" max="4" width="10.140625" style="12" bestFit="1" customWidth="1"/>
    <col min="5" max="6" width="7.5703125" style="238" customWidth="1"/>
    <col min="7" max="12" width="11.42578125" style="238"/>
    <col min="13" max="13" width="7.5703125" style="238" customWidth="1"/>
    <col min="14" max="16384" width="11.42578125" style="238"/>
  </cols>
  <sheetData>
    <row r="1" spans="1:13">
      <c r="A1" s="268" t="s">
        <v>500</v>
      </c>
    </row>
    <row r="2" spans="1:13" ht="18">
      <c r="A2" s="1236" t="s">
        <v>157</v>
      </c>
      <c r="B2" s="1236"/>
      <c r="C2" s="1236"/>
      <c r="D2" s="1236"/>
      <c r="E2" s="1236"/>
      <c r="F2" s="1236"/>
      <c r="G2" s="996"/>
      <c r="H2" s="996"/>
      <c r="I2" s="996"/>
      <c r="J2" s="996"/>
      <c r="K2" s="996"/>
      <c r="L2" s="996"/>
      <c r="M2" s="996"/>
    </row>
    <row r="3" spans="1:13">
      <c r="A3" s="268" t="s">
        <v>401</v>
      </c>
      <c r="D3" s="988" t="s">
        <v>158</v>
      </c>
    </row>
    <row r="4" spans="1:13" ht="13.5" thickBot="1">
      <c r="A4" s="238" t="s">
        <v>29</v>
      </c>
    </row>
    <row r="5" spans="1:13">
      <c r="A5" s="445" t="s">
        <v>8</v>
      </c>
      <c r="B5" s="446" t="s">
        <v>0</v>
      </c>
      <c r="C5" s="447" t="s">
        <v>37</v>
      </c>
      <c r="D5" s="28" t="s">
        <v>30</v>
      </c>
      <c r="E5" s="446" t="s">
        <v>37</v>
      </c>
      <c r="F5" s="447" t="s">
        <v>38</v>
      </c>
    </row>
    <row r="6" spans="1:13" hidden="1">
      <c r="A6" s="1141"/>
      <c r="B6" s="1142" t="s">
        <v>656</v>
      </c>
      <c r="C6" s="1143"/>
      <c r="D6" s="1144" t="s">
        <v>657</v>
      </c>
      <c r="E6" s="1142"/>
      <c r="F6" s="1143"/>
    </row>
    <row r="7" spans="1:13">
      <c r="A7" s="461">
        <v>1970</v>
      </c>
      <c r="B7" s="34">
        <f>[7]Datos!CX5</f>
        <v>2351.4156921131657</v>
      </c>
      <c r="C7" s="1145"/>
      <c r="D7" s="29">
        <f>[7]Datos!AB5</f>
        <v>305.02217877094967</v>
      </c>
      <c r="E7" s="448"/>
      <c r="F7" s="32">
        <f t="shared" ref="F7:F64" si="0">+D7/B7</f>
        <v>0.12971852650044743</v>
      </c>
    </row>
    <row r="8" spans="1:13">
      <c r="A8" s="449">
        <f>A7+1</f>
        <v>1971</v>
      </c>
      <c r="B8" s="20">
        <f>[7]Datos!CX6</f>
        <v>2577.6500691901069</v>
      </c>
      <c r="C8" s="22">
        <f>(B8-B7)/B7</f>
        <v>9.6211987457491752E-2</v>
      </c>
      <c r="D8" s="30">
        <f>[7]Datos!AB6</f>
        <v>324.43050279329606</v>
      </c>
      <c r="E8" s="21">
        <f t="shared" ref="E8:E63" si="1">(D8-D7)/D7</f>
        <v>6.3629222309505198E-2</v>
      </c>
      <c r="F8" s="22">
        <f t="shared" si="0"/>
        <v>0.12586289608163592</v>
      </c>
    </row>
    <row r="9" spans="1:13">
      <c r="A9" s="449">
        <f t="shared" ref="A9:A64" si="2">A8+1</f>
        <v>1972</v>
      </c>
      <c r="B9" s="20">
        <f>[7]Datos!CX7</f>
        <v>2689.0848543566476</v>
      </c>
      <c r="C9" s="22">
        <f t="shared" ref="C9:C64" si="3">(B9-B8)/B8</f>
        <v>4.3231153250197878E-2</v>
      </c>
      <c r="D9" s="30">
        <f>[7]Datos!AB7</f>
        <v>339.28625698324015</v>
      </c>
      <c r="E9" s="21">
        <f t="shared" si="1"/>
        <v>4.5790251107828535E-2</v>
      </c>
      <c r="F9" s="22">
        <f t="shared" si="0"/>
        <v>0.12617164401991807</v>
      </c>
    </row>
    <row r="10" spans="1:13">
      <c r="A10" s="449">
        <f t="shared" si="2"/>
        <v>1973</v>
      </c>
      <c r="B10" s="20">
        <f>[7]Datos!CX8</f>
        <v>2823.437834166356</v>
      </c>
      <c r="C10" s="22">
        <f t="shared" si="3"/>
        <v>4.9962342985212994E-2</v>
      </c>
      <c r="D10" s="30">
        <f>[7]Datos!AB8</f>
        <v>360.61145251396641</v>
      </c>
      <c r="E10" s="21">
        <f t="shared" si="1"/>
        <v>6.28531073446328E-2</v>
      </c>
      <c r="F10" s="22">
        <f t="shared" si="0"/>
        <v>0.12772069855769996</v>
      </c>
    </row>
    <row r="11" spans="1:13">
      <c r="A11" s="449">
        <f t="shared" si="2"/>
        <v>1974</v>
      </c>
      <c r="B11" s="20">
        <f>[7]Datos!CX9</f>
        <v>2903.6383679935257</v>
      </c>
      <c r="C11" s="22">
        <f t="shared" si="3"/>
        <v>2.8405277019619448E-2</v>
      </c>
      <c r="D11" s="30">
        <f>[7]Datos!AB9</f>
        <v>365.40363128491617</v>
      </c>
      <c r="E11" s="21">
        <f t="shared" si="1"/>
        <v>1.3289036544850611E-2</v>
      </c>
      <c r="F11" s="22">
        <f t="shared" si="0"/>
        <v>0.12584336786313291</v>
      </c>
    </row>
    <row r="12" spans="1:13">
      <c r="A12" s="449">
        <f t="shared" si="2"/>
        <v>1975</v>
      </c>
      <c r="B12" s="20">
        <f>[7]Datos!CX10</f>
        <v>2910.1245026717997</v>
      </c>
      <c r="C12" s="22">
        <f t="shared" si="3"/>
        <v>2.2337956233703226E-3</v>
      </c>
      <c r="D12" s="30">
        <f>[7]Datos!AB10</f>
        <v>352.22513966480443</v>
      </c>
      <c r="E12" s="21">
        <f t="shared" si="1"/>
        <v>-3.6065573770491834E-2</v>
      </c>
      <c r="F12" s="22">
        <f t="shared" si="0"/>
        <v>0.12103438850861012</v>
      </c>
    </row>
    <row r="13" spans="1:13">
      <c r="A13" s="449">
        <f t="shared" si="2"/>
        <v>1976</v>
      </c>
      <c r="B13" s="20">
        <f>[7]Datos!CX11</f>
        <v>2949.1723957981726</v>
      </c>
      <c r="C13" s="22">
        <f t="shared" si="3"/>
        <v>1.3417945895621576E-2</v>
      </c>
      <c r="D13" s="30">
        <f>[7]Datos!AB11</f>
        <v>361.09067039106139</v>
      </c>
      <c r="E13" s="21">
        <f t="shared" si="1"/>
        <v>2.5170068027210831E-2</v>
      </c>
      <c r="F13" s="22">
        <f t="shared" si="0"/>
        <v>0.12243796629370483</v>
      </c>
    </row>
    <row r="14" spans="1:13">
      <c r="A14" s="449">
        <f t="shared" si="2"/>
        <v>1977</v>
      </c>
      <c r="B14" s="20">
        <f>[7]Datos!CX12</f>
        <v>2985.6550172110965</v>
      </c>
      <c r="C14" s="22">
        <f t="shared" si="3"/>
        <v>1.2370460765502359E-2</v>
      </c>
      <c r="D14" s="30">
        <f>[7]Datos!AB12</f>
        <v>365.40363128491612</v>
      </c>
      <c r="E14" s="21">
        <f t="shared" si="1"/>
        <v>1.194426011944253E-2</v>
      </c>
      <c r="F14" s="22">
        <f t="shared" si="0"/>
        <v>0.12238642079493833</v>
      </c>
    </row>
    <row r="15" spans="1:13">
      <c r="A15" s="449">
        <f t="shared" si="2"/>
        <v>1978</v>
      </c>
      <c r="B15" s="20">
        <f>[7]Datos!CX13</f>
        <v>3300.2084216849612</v>
      </c>
      <c r="C15" s="22">
        <f t="shared" si="3"/>
        <v>0.10535490626364775</v>
      </c>
      <c r="D15" s="30">
        <f>[7]Datos!AB13</f>
        <v>371.15424581005578</v>
      </c>
      <c r="E15" s="21">
        <f t="shared" si="1"/>
        <v>1.5737704918032797E-2</v>
      </c>
      <c r="F15" s="22">
        <f t="shared" si="0"/>
        <v>0.11246388057532394</v>
      </c>
    </row>
    <row r="16" spans="1:13">
      <c r="A16" s="449">
        <f t="shared" si="2"/>
        <v>1979</v>
      </c>
      <c r="B16" s="20">
        <f>[7]Datos!CX14</f>
        <v>3453.0450719817218</v>
      </c>
      <c r="C16" s="22">
        <f t="shared" si="3"/>
        <v>4.6311211526067188E-2</v>
      </c>
      <c r="D16" s="30">
        <f>[7]Datos!AB14</f>
        <v>412.1273743016759</v>
      </c>
      <c r="E16" s="21">
        <f t="shared" si="1"/>
        <v>0.11039380245319565</v>
      </c>
      <c r="F16" s="22">
        <f t="shared" si="0"/>
        <v>0.11935186645714813</v>
      </c>
    </row>
    <row r="17" spans="1:6">
      <c r="A17" s="449">
        <f t="shared" si="2"/>
        <v>1980</v>
      </c>
      <c r="B17" s="20">
        <f>[7]Datos!CX15</f>
        <v>4141.5</v>
      </c>
      <c r="C17" s="22">
        <f t="shared" si="3"/>
        <v>0.19937617774075858</v>
      </c>
      <c r="D17" s="30">
        <f>[7]Datos!AB15</f>
        <v>428.9</v>
      </c>
      <c r="E17" s="21">
        <f t="shared" si="1"/>
        <v>4.0697674418604793E-2</v>
      </c>
      <c r="F17" s="22">
        <f t="shared" si="0"/>
        <v>0.10356151152963901</v>
      </c>
    </row>
    <row r="18" spans="1:6">
      <c r="A18" s="449">
        <f t="shared" si="2"/>
        <v>1981</v>
      </c>
      <c r="B18" s="20">
        <f>[7]Datos!CX16</f>
        <v>4522.8</v>
      </c>
      <c r="C18" s="22">
        <f t="shared" si="3"/>
        <v>9.206809127127856E-2</v>
      </c>
      <c r="D18" s="30">
        <f>[7]Datos!AB16</f>
        <v>418</v>
      </c>
      <c r="E18" s="21">
        <f t="shared" si="1"/>
        <v>-2.5413849382140308E-2</v>
      </c>
      <c r="F18" s="22">
        <f t="shared" si="0"/>
        <v>9.2420624391969575E-2</v>
      </c>
    </row>
    <row r="19" spans="1:6">
      <c r="A19" s="449">
        <f t="shared" si="2"/>
        <v>1982</v>
      </c>
      <c r="B19" s="20">
        <f>[7]Datos!CX17</f>
        <v>4764.7</v>
      </c>
      <c r="C19" s="22">
        <f t="shared" si="3"/>
        <v>5.3484567082338293E-2</v>
      </c>
      <c r="D19" s="30">
        <f>[7]Datos!AB17</f>
        <v>433</v>
      </c>
      <c r="E19" s="21">
        <f t="shared" si="1"/>
        <v>3.5885167464114832E-2</v>
      </c>
      <c r="F19" s="22">
        <f t="shared" si="0"/>
        <v>9.0876655403278273E-2</v>
      </c>
    </row>
    <row r="20" spans="1:6">
      <c r="A20" s="449">
        <f t="shared" si="2"/>
        <v>1983</v>
      </c>
      <c r="B20" s="20">
        <f>[7]Datos!CX18</f>
        <v>4550.7000000000007</v>
      </c>
      <c r="C20" s="22">
        <f t="shared" si="3"/>
        <v>-4.4913635695846346E-2</v>
      </c>
      <c r="D20" s="30">
        <f>[7]Datos!AB18</f>
        <v>423.7</v>
      </c>
      <c r="E20" s="21">
        <f t="shared" si="1"/>
        <v>-2.1478060046189403E-2</v>
      </c>
      <c r="F20" s="22">
        <f t="shared" si="0"/>
        <v>9.3106555035489022E-2</v>
      </c>
    </row>
    <row r="21" spans="1:6">
      <c r="A21" s="449">
        <f t="shared" si="2"/>
        <v>1984</v>
      </c>
      <c r="B21" s="20">
        <f>[7]Datos!CX19</f>
        <v>4674.0000000000009</v>
      </c>
      <c r="C21" s="22">
        <f t="shared" si="3"/>
        <v>2.709473267848906E-2</v>
      </c>
      <c r="D21" s="30">
        <f>[7]Datos!AB19</f>
        <v>452.7</v>
      </c>
      <c r="E21" s="21">
        <f t="shared" si="1"/>
        <v>6.8444654236488087E-2</v>
      </c>
      <c r="F21" s="22">
        <f t="shared" si="0"/>
        <v>9.6854942233632835E-2</v>
      </c>
    </row>
    <row r="22" spans="1:6">
      <c r="A22" s="449">
        <f t="shared" si="2"/>
        <v>1985</v>
      </c>
      <c r="B22" s="20">
        <f>[7]Datos!CX20</f>
        <v>4905.0000000000009</v>
      </c>
      <c r="C22" s="22">
        <f t="shared" si="3"/>
        <v>4.9422336328626436E-2</v>
      </c>
      <c r="D22" s="30">
        <f>[7]Datos!AB20</f>
        <v>478.1</v>
      </c>
      <c r="E22" s="21">
        <f t="shared" si="1"/>
        <v>5.6107797658493559E-2</v>
      </c>
      <c r="F22" s="22">
        <f t="shared" si="0"/>
        <v>9.7471967380224248E-2</v>
      </c>
    </row>
    <row r="23" spans="1:6">
      <c r="A23" s="449">
        <f t="shared" si="2"/>
        <v>1986</v>
      </c>
      <c r="B23" s="20">
        <f>[7]Datos!CX21</f>
        <v>5080.0000000000009</v>
      </c>
      <c r="C23" s="22">
        <f t="shared" si="3"/>
        <v>3.5677879714576956E-2</v>
      </c>
      <c r="D23" s="30">
        <f>[7]Datos!AB21</f>
        <v>481.4</v>
      </c>
      <c r="E23" s="21">
        <f t="shared" si="1"/>
        <v>6.9023216900229124E-3</v>
      </c>
      <c r="F23" s="22">
        <f t="shared" si="0"/>
        <v>9.4763779527559031E-2</v>
      </c>
    </row>
    <row r="24" spans="1:6">
      <c r="A24" s="449">
        <f t="shared" si="2"/>
        <v>1987</v>
      </c>
      <c r="B24" s="20">
        <f>[7]Datos!CX22</f>
        <v>4988.1000000000004</v>
      </c>
      <c r="C24" s="22">
        <f t="shared" si="3"/>
        <v>-1.8090551181102466E-2</v>
      </c>
      <c r="D24" s="30">
        <f>[7]Datos!AB22</f>
        <v>514.5</v>
      </c>
      <c r="E24" s="21">
        <f t="shared" si="1"/>
        <v>6.8757789779808939E-2</v>
      </c>
      <c r="F24" s="22">
        <f t="shared" si="0"/>
        <v>0.10314548625729235</v>
      </c>
    </row>
    <row r="25" spans="1:6">
      <c r="A25" s="449">
        <f t="shared" si="2"/>
        <v>1988</v>
      </c>
      <c r="B25" s="20">
        <f>[7]Datos!CX23</f>
        <v>4320.7</v>
      </c>
      <c r="C25" s="22">
        <f t="shared" si="3"/>
        <v>-0.13379844028788526</v>
      </c>
      <c r="D25" s="30">
        <f>[7]Datos!AB23</f>
        <v>398.9</v>
      </c>
      <c r="E25" s="21">
        <f t="shared" si="1"/>
        <v>-0.22468415937803699</v>
      </c>
      <c r="F25" s="22">
        <f t="shared" si="0"/>
        <v>9.2323003217071306E-2</v>
      </c>
    </row>
    <row r="26" spans="1:6">
      <c r="A26" s="449">
        <f t="shared" si="2"/>
        <v>1989</v>
      </c>
      <c r="B26" s="20">
        <f>[7]Datos!CX24</f>
        <v>4388.2000000000007</v>
      </c>
      <c r="C26" s="22">
        <f t="shared" si="3"/>
        <v>1.5622468581480064E-2</v>
      </c>
      <c r="D26" s="30">
        <f>[7]Datos!AB24</f>
        <v>404.1</v>
      </c>
      <c r="E26" s="21">
        <f t="shared" si="1"/>
        <v>1.3035848583605028E-2</v>
      </c>
      <c r="F26" s="22">
        <f t="shared" si="0"/>
        <v>9.208787202041839E-2</v>
      </c>
    </row>
    <row r="27" spans="1:6">
      <c r="A27" s="449">
        <f t="shared" si="2"/>
        <v>1990</v>
      </c>
      <c r="B27" s="20">
        <f>[7]Datos!CX25</f>
        <v>4743.6000000000013</v>
      </c>
      <c r="C27" s="22">
        <f t="shared" si="3"/>
        <v>8.0989927532929329E-2</v>
      </c>
      <c r="D27" s="30">
        <f>[7]Datos!AB25</f>
        <v>459.8</v>
      </c>
      <c r="E27" s="21">
        <f t="shared" si="1"/>
        <v>0.13783716901756987</v>
      </c>
      <c r="F27" s="22">
        <f t="shared" si="0"/>
        <v>9.6930601231132452E-2</v>
      </c>
    </row>
    <row r="28" spans="1:6">
      <c r="A28" s="449">
        <f t="shared" si="2"/>
        <v>1991</v>
      </c>
      <c r="B28" s="20">
        <f>[7]Datos!CX26</f>
        <v>5190.4000000000005</v>
      </c>
      <c r="C28" s="22">
        <f>(B28-B27)/B27</f>
        <v>9.4190066616072002E-2</v>
      </c>
      <c r="D28" s="30">
        <f>[7]Datos!AB26</f>
        <v>507.9</v>
      </c>
      <c r="E28" s="21">
        <f t="shared" si="1"/>
        <v>0.10461070030448014</v>
      </c>
      <c r="F28" s="22">
        <f t="shared" si="0"/>
        <v>9.7853729963008618E-2</v>
      </c>
    </row>
    <row r="29" spans="1:6">
      <c r="A29" s="449">
        <f t="shared" si="2"/>
        <v>1992</v>
      </c>
      <c r="B29" s="20">
        <f>[7]Datos!CX27</f>
        <v>5616.1</v>
      </c>
      <c r="C29" s="22">
        <f t="shared" si="3"/>
        <v>8.2016800246609081E-2</v>
      </c>
      <c r="D29" s="30">
        <f>[7]Datos!AB27</f>
        <v>554.4</v>
      </c>
      <c r="E29" s="21">
        <f t="shared" si="1"/>
        <v>9.1553455404607215E-2</v>
      </c>
      <c r="F29" s="22">
        <f t="shared" si="0"/>
        <v>9.8716190951015817E-2</v>
      </c>
    </row>
    <row r="30" spans="1:6">
      <c r="A30" s="449">
        <f t="shared" si="2"/>
        <v>1993</v>
      </c>
      <c r="B30" s="20">
        <f>[7]Datos!CX28</f>
        <v>5922.5</v>
      </c>
      <c r="C30" s="22">
        <f t="shared" si="3"/>
        <v>5.455743309413999E-2</v>
      </c>
      <c r="D30" s="30">
        <f>[7]Datos!AB28</f>
        <v>589.5</v>
      </c>
      <c r="E30" s="21">
        <f t="shared" si="1"/>
        <v>6.3311688311688361E-2</v>
      </c>
      <c r="F30" s="22">
        <f t="shared" si="0"/>
        <v>9.9535669058674545E-2</v>
      </c>
    </row>
    <row r="31" spans="1:6">
      <c r="A31" s="449">
        <f t="shared" si="2"/>
        <v>1994</v>
      </c>
      <c r="B31" s="20">
        <f>[7]Datos!CX29</f>
        <v>6091.3</v>
      </c>
      <c r="C31" s="22">
        <f t="shared" si="3"/>
        <v>2.8501477416631522E-2</v>
      </c>
      <c r="D31" s="30">
        <f>[7]Datos!AB29</f>
        <v>614.6</v>
      </c>
      <c r="E31" s="21">
        <f t="shared" si="1"/>
        <v>4.2578456318914375E-2</v>
      </c>
      <c r="F31" s="22">
        <f t="shared" si="0"/>
        <v>0.10089800206852396</v>
      </c>
    </row>
    <row r="32" spans="1:6">
      <c r="A32" s="449">
        <f t="shared" si="2"/>
        <v>1995</v>
      </c>
      <c r="B32" s="20">
        <f>[7]Datos!CX30</f>
        <v>6198</v>
      </c>
      <c r="C32" s="22">
        <f t="shared" si="3"/>
        <v>1.7516786236107206E-2</v>
      </c>
      <c r="D32" s="30">
        <f>[7]Datos!AB30</f>
        <v>615.79999999999995</v>
      </c>
      <c r="E32" s="21">
        <f t="shared" si="1"/>
        <v>1.9524894240155089E-3</v>
      </c>
      <c r="F32" s="22">
        <f t="shared" si="0"/>
        <v>9.9354630525976109E-2</v>
      </c>
    </row>
    <row r="33" spans="1:15">
      <c r="A33" s="449">
        <f t="shared" si="2"/>
        <v>1996</v>
      </c>
      <c r="B33" s="20">
        <f>[7]Datos!CX31</f>
        <v>6372.2000000000007</v>
      </c>
      <c r="C33" s="22">
        <f t="shared" si="3"/>
        <v>2.8105840593740033E-2</v>
      </c>
      <c r="D33" s="30">
        <f>[7]Datos!AB31</f>
        <v>608.1</v>
      </c>
      <c r="E33" s="21">
        <f t="shared" si="1"/>
        <v>-1.2504059759662118E-2</v>
      </c>
      <c r="F33" s="22">
        <f t="shared" si="0"/>
        <v>9.5430149712815035E-2</v>
      </c>
    </row>
    <row r="34" spans="1:15">
      <c r="A34" s="449">
        <f t="shared" si="2"/>
        <v>1997</v>
      </c>
      <c r="B34" s="20">
        <f>[7]Datos!CX32</f>
        <v>6807.2766047027162</v>
      </c>
      <c r="C34" s="22">
        <f t="shared" si="3"/>
        <v>6.8277299002340711E-2</v>
      </c>
      <c r="D34" s="30">
        <f>[7]Datos!AB32</f>
        <v>627.8988604503935</v>
      </c>
      <c r="E34" s="21">
        <f t="shared" si="1"/>
        <v>3.2558560188116224E-2</v>
      </c>
      <c r="F34" s="22">
        <f t="shared" si="0"/>
        <v>9.2239363391905943E-2</v>
      </c>
    </row>
    <row r="35" spans="1:15">
      <c r="A35" s="449">
        <f t="shared" si="2"/>
        <v>1998</v>
      </c>
      <c r="B35" s="20">
        <f>[7]Datos!CX33</f>
        <v>6947.1999999999989</v>
      </c>
      <c r="C35" s="22">
        <f t="shared" si="3"/>
        <v>2.0554974246326126E-2</v>
      </c>
      <c r="D35" s="30">
        <f>[7]Datos!AB33</f>
        <v>672.1</v>
      </c>
      <c r="E35" s="21">
        <f t="shared" si="1"/>
        <v>7.0395317357163117E-2</v>
      </c>
      <c r="F35" s="22">
        <f t="shared" si="0"/>
        <v>9.6744011976047928E-2</v>
      </c>
    </row>
    <row r="36" spans="1:15">
      <c r="A36" s="449">
        <f t="shared" si="2"/>
        <v>1999</v>
      </c>
      <c r="B36" s="20">
        <f>[7]Datos!CX34</f>
        <v>7169.9000000000005</v>
      </c>
      <c r="C36" s="22">
        <f t="shared" si="3"/>
        <v>3.2056080147397754E-2</v>
      </c>
      <c r="D36" s="30">
        <f>[7]Datos!AB34</f>
        <v>622</v>
      </c>
      <c r="E36" s="21">
        <f t="shared" si="1"/>
        <v>-7.4542478797797976E-2</v>
      </c>
      <c r="F36" s="22">
        <f t="shared" si="0"/>
        <v>8.675155859914363E-2</v>
      </c>
    </row>
    <row r="37" spans="1:15">
      <c r="A37" s="449">
        <f t="shared" si="2"/>
        <v>2000</v>
      </c>
      <c r="B37" s="20">
        <f>[7]Datos!CX35</f>
        <v>7345.6999999999989</v>
      </c>
      <c r="C37" s="22">
        <f t="shared" si="3"/>
        <v>2.4519170420786669E-2</v>
      </c>
      <c r="D37" s="30">
        <f>[7]Datos!AB35</f>
        <v>589.20000000000005</v>
      </c>
      <c r="E37" s="21">
        <f t="shared" si="1"/>
        <v>-5.2733118971061019E-2</v>
      </c>
      <c r="F37" s="22">
        <f t="shared" si="0"/>
        <v>8.0210190996092973E-2</v>
      </c>
    </row>
    <row r="38" spans="1:15">
      <c r="A38" s="449">
        <f t="shared" si="2"/>
        <v>2001</v>
      </c>
      <c r="B38" s="20">
        <f>[7]Datos!CX36</f>
        <v>7372.61010719755</v>
      </c>
      <c r="C38" s="22">
        <f t="shared" si="3"/>
        <v>3.6633822777340547E-3</v>
      </c>
      <c r="D38" s="30">
        <f>[7]Datos!AB36</f>
        <v>555.6</v>
      </c>
      <c r="E38" s="21">
        <f t="shared" si="1"/>
        <v>-5.7026476578411436E-2</v>
      </c>
      <c r="F38" s="22">
        <f t="shared" si="0"/>
        <v>7.5360013878611673E-2</v>
      </c>
    </row>
    <row r="39" spans="1:15">
      <c r="A39" s="449">
        <f t="shared" si="2"/>
        <v>2002</v>
      </c>
      <c r="B39" s="20">
        <f>[7]Datos!CX37</f>
        <v>7682.2686741081388</v>
      </c>
      <c r="C39" s="22">
        <f t="shared" si="3"/>
        <v>4.2001212922989521E-2</v>
      </c>
      <c r="D39" s="30">
        <f>[7]Datos!AB37</f>
        <v>541.03735749780765</v>
      </c>
      <c r="E39" s="21">
        <f t="shared" si="1"/>
        <v>-2.6210659651174181E-2</v>
      </c>
      <c r="F39" s="22">
        <f t="shared" si="0"/>
        <v>7.0426768504112308E-2</v>
      </c>
    </row>
    <row r="40" spans="1:15">
      <c r="A40" s="449">
        <f t="shared" si="2"/>
        <v>2003</v>
      </c>
      <c r="B40" s="20">
        <f>[7]Datos!CX38</f>
        <v>7881.9392110616636</v>
      </c>
      <c r="C40" s="22">
        <f t="shared" si="3"/>
        <v>2.5991090057352784E-2</v>
      </c>
      <c r="D40" s="30">
        <f>[7]Datos!AB38</f>
        <v>522.63104355451617</v>
      </c>
      <c r="E40" s="21">
        <f t="shared" si="1"/>
        <v>-3.4020412247348489E-2</v>
      </c>
      <c r="F40" s="22">
        <f t="shared" si="0"/>
        <v>6.6307418715060101E-2</v>
      </c>
    </row>
    <row r="41" spans="1:15">
      <c r="A41" s="449">
        <f t="shared" si="2"/>
        <v>2004</v>
      </c>
      <c r="B41" s="20">
        <f>[7]Datos!CX39</f>
        <v>8373.9903204816346</v>
      </c>
      <c r="C41" s="22">
        <f t="shared" si="3"/>
        <v>6.242767119155361E-2</v>
      </c>
      <c r="D41" s="30">
        <f>[7]Datos!AB39</f>
        <v>533.51242326805016</v>
      </c>
      <c r="E41" s="21">
        <f t="shared" si="1"/>
        <v>2.0820385332504538E-2</v>
      </c>
      <c r="F41" s="22">
        <f t="shared" si="0"/>
        <v>6.3710656789649225E-2</v>
      </c>
    </row>
    <row r="42" spans="1:15">
      <c r="A42" s="449">
        <f t="shared" si="2"/>
        <v>2005</v>
      </c>
      <c r="B42" s="20">
        <f>[7]Datos!CX40</f>
        <v>9081.422412048847</v>
      </c>
      <c r="C42" s="22">
        <f t="shared" si="3"/>
        <v>8.4479688236196102E-2</v>
      </c>
      <c r="D42" s="30">
        <f>[7]Datos!AB40</f>
        <v>555.92481730488157</v>
      </c>
      <c r="E42" s="21">
        <f t="shared" si="1"/>
        <v>4.200913242009148E-2</v>
      </c>
      <c r="F42" s="22">
        <f t="shared" si="0"/>
        <v>6.1215610515738594E-2</v>
      </c>
    </row>
    <row r="43" spans="1:15">
      <c r="A43" s="449">
        <f t="shared" si="2"/>
        <v>2006</v>
      </c>
      <c r="B43" s="20">
        <f>[7]Datos!CX41</f>
        <v>9788.3682028639505</v>
      </c>
      <c r="C43" s="25">
        <f t="shared" si="3"/>
        <v>7.784527122944504E-2</v>
      </c>
      <c r="D43" s="31">
        <f>[7]Datos!AB41</f>
        <v>577.47103186202855</v>
      </c>
      <c r="E43" s="89">
        <f t="shared" si="1"/>
        <v>3.8757425260492653E-2</v>
      </c>
      <c r="F43" s="25">
        <f t="shared" si="0"/>
        <v>5.8995638485796635E-2</v>
      </c>
      <c r="N43" s="238" t="s">
        <v>32</v>
      </c>
      <c r="O43" s="238" t="s">
        <v>33</v>
      </c>
    </row>
    <row r="44" spans="1:15">
      <c r="A44" s="449">
        <f t="shared" si="2"/>
        <v>2007</v>
      </c>
      <c r="B44" s="20">
        <f>[7]Datos!CX42</f>
        <v>11002.804099426618</v>
      </c>
      <c r="C44" s="25">
        <f t="shared" si="3"/>
        <v>0.12406929034477256</v>
      </c>
      <c r="D44" s="31">
        <f>[7]Datos!AB42</f>
        <v>609.95276235018991</v>
      </c>
      <c r="E44" s="89">
        <f t="shared" si="1"/>
        <v>5.6248242242429941E-2</v>
      </c>
      <c r="F44" s="25">
        <f t="shared" si="0"/>
        <v>5.5436119450856712E-2</v>
      </c>
    </row>
    <row r="45" spans="1:15">
      <c r="A45" s="449">
        <f t="shared" si="2"/>
        <v>2008</v>
      </c>
      <c r="B45" s="1146">
        <f>[7]Datos!CX43</f>
        <v>12132.014935933918</v>
      </c>
      <c r="C45" s="22">
        <f>(B45-B44)/B44</f>
        <v>0.10262936850490194</v>
      </c>
      <c r="D45" s="1147">
        <f>[7]Datos!AB43</f>
        <v>633.88172838351363</v>
      </c>
      <c r="E45" s="36">
        <f t="shared" si="1"/>
        <v>3.9230851158249973E-2</v>
      </c>
      <c r="F45" s="1148">
        <f t="shared" si="0"/>
        <v>5.2248676887630102E-2</v>
      </c>
    </row>
    <row r="46" spans="1:15">
      <c r="A46" s="449">
        <f t="shared" si="2"/>
        <v>2009</v>
      </c>
      <c r="B46" s="1146">
        <f>[7]Datos!CX44</f>
        <v>12529.358670555303</v>
      </c>
      <c r="C46" s="22">
        <f>(B46-B45)/B45</f>
        <v>3.2751668763981591E-2</v>
      </c>
      <c r="D46" s="1147">
        <f>[7]Datos!AB44</f>
        <v>630.09143525285003</v>
      </c>
      <c r="E46" s="36">
        <f t="shared" si="1"/>
        <v>-5.9794957969988701E-3</v>
      </c>
      <c r="F46" s="1148">
        <f t="shared" si="0"/>
        <v>5.0289200893705782E-2</v>
      </c>
    </row>
    <row r="47" spans="1:15">
      <c r="A47" s="449">
        <f t="shared" si="2"/>
        <v>2010</v>
      </c>
      <c r="B47" s="1146">
        <f>[7]Datos!CX45</f>
        <v>13523.004739279306</v>
      </c>
      <c r="C47" s="22">
        <f>(B47-B46)/B46</f>
        <v>7.9305421358806444E-2</v>
      </c>
      <c r="D47" s="1147">
        <f>[7]Datos!AB45</f>
        <v>637.02087109032436</v>
      </c>
      <c r="E47" s="36">
        <f t="shared" si="1"/>
        <v>1.0997508377008186E-2</v>
      </c>
      <c r="F47" s="1148">
        <f t="shared" si="0"/>
        <v>4.7106459205772173E-2</v>
      </c>
    </row>
    <row r="48" spans="1:15">
      <c r="A48" s="449">
        <f t="shared" si="2"/>
        <v>2011</v>
      </c>
      <c r="B48" s="1146">
        <f>[7]Datos!CX46</f>
        <v>15092.879271304215</v>
      </c>
      <c r="C48" s="22">
        <f>(B48-B47)/B47</f>
        <v>0.11608918005219702</v>
      </c>
      <c r="D48" s="1147">
        <f>[7]Datos!AB46</f>
        <v>657.59263373282647</v>
      </c>
      <c r="E48" s="36">
        <f t="shared" si="1"/>
        <v>3.2293702727967923E-2</v>
      </c>
      <c r="F48" s="1148">
        <f t="shared" si="0"/>
        <v>4.3569727280804132E-2</v>
      </c>
    </row>
    <row r="49" spans="1:6">
      <c r="A49" s="462">
        <f t="shared" si="2"/>
        <v>2012</v>
      </c>
      <c r="B49" s="1149">
        <f>[7]Datos!CX47</f>
        <v>16502.240181051773</v>
      </c>
      <c r="C49" s="464">
        <f>(B49-B48)/B48</f>
        <v>9.3379194546871352E-2</v>
      </c>
      <c r="D49" s="1150">
        <f>[7]Datos!AB47</f>
        <v>679.74957772108917</v>
      </c>
      <c r="E49" s="466">
        <f t="shared" si="1"/>
        <v>3.3694027049069486E-2</v>
      </c>
      <c r="F49" s="1151">
        <f t="shared" si="0"/>
        <v>4.1191351614285207E-2</v>
      </c>
    </row>
    <row r="50" spans="1:6">
      <c r="A50" s="461">
        <f t="shared" si="2"/>
        <v>2013</v>
      </c>
      <c r="B50" s="34">
        <f>B49*(1+'[7]Pronosticos PIB 2013-2027 '!M22)</f>
        <v>17772.625102183771</v>
      </c>
      <c r="C50" s="32">
        <f t="shared" si="3"/>
        <v>7.6982573710851737E-2</v>
      </c>
      <c r="D50" s="29">
        <f>D49*(1+'[7]Pronosticos MANU 2013-27 1996'!F24)</f>
        <v>691.30296046169508</v>
      </c>
      <c r="E50" s="35">
        <f t="shared" si="1"/>
        <v>1.6996528014536594E-2</v>
      </c>
      <c r="F50" s="32">
        <f t="shared" si="0"/>
        <v>3.8897065373688255E-2</v>
      </c>
    </row>
    <row r="51" spans="1:6">
      <c r="A51" s="449">
        <f t="shared" si="2"/>
        <v>2014</v>
      </c>
      <c r="B51" s="20">
        <f>B50*(1+'[7]Pronosticos PIB 2013-2027 '!M23)</f>
        <v>18837.205345804581</v>
      </c>
      <c r="C51" s="22">
        <f t="shared" si="3"/>
        <v>5.9900000000000148E-2</v>
      </c>
      <c r="D51" s="30">
        <f>D50*(1+'[7]Pronosticos MANU 2013-27 1996'!F25)</f>
        <v>718.46129105126158</v>
      </c>
      <c r="E51" s="36">
        <f t="shared" si="1"/>
        <v>3.928571428571416E-2</v>
      </c>
      <c r="F51" s="22">
        <f t="shared" si="0"/>
        <v>3.8140545684037845E-2</v>
      </c>
    </row>
    <row r="52" spans="1:6">
      <c r="A52" s="449">
        <f t="shared" si="2"/>
        <v>2015</v>
      </c>
      <c r="B52" s="20">
        <f>B51*(1+'[7]Pronosticos PIB 2013-2027 '!M24)</f>
        <v>19941.536509202375</v>
      </c>
      <c r="C52" s="32">
        <f t="shared" si="3"/>
        <v>5.862500000000001E-2</v>
      </c>
      <c r="D52" s="29">
        <f>D51*(1+'[7]Pronosticos MANU 2013-27 1996'!F26)</f>
        <v>775.24689137490088</v>
      </c>
      <c r="E52" s="35">
        <f t="shared" si="1"/>
        <v>7.9037800687285317E-2</v>
      </c>
      <c r="F52" s="32">
        <f t="shared" si="0"/>
        <v>3.8875985860826197E-2</v>
      </c>
    </row>
    <row r="53" spans="1:6">
      <c r="A53" s="449">
        <f t="shared" si="2"/>
        <v>2016</v>
      </c>
      <c r="B53" s="20">
        <f>B52*(1+'[7]Pronosticos PIB 2013-2027 '!M25)</f>
        <v>21157.970236263718</v>
      </c>
      <c r="C53" s="22">
        <f t="shared" si="3"/>
        <v>6.0999999999999915E-2</v>
      </c>
      <c r="D53" s="30">
        <f>D52*(1+'[7]Pronosticos MANU 2013-27 1996'!F27)</f>
        <v>800.48493596318508</v>
      </c>
      <c r="E53" s="36">
        <f t="shared" si="1"/>
        <v>3.2554847841472161E-2</v>
      </c>
      <c r="F53" s="22">
        <f t="shared" si="0"/>
        <v>3.7833730127438847E-2</v>
      </c>
    </row>
    <row r="54" spans="1:6">
      <c r="A54" s="449">
        <f t="shared" si="2"/>
        <v>2017</v>
      </c>
      <c r="B54" s="20">
        <f>B53*(1+'[7]Pronosticos PIB 2013-2027 '!M26)</f>
        <v>22215.868748076904</v>
      </c>
      <c r="C54" s="22">
        <f t="shared" si="3"/>
        <v>0.05</v>
      </c>
      <c r="D54" s="30">
        <f>D53*(1+'[7]Pronosticos MANU 2013-27 1996'!F28)</f>
        <v>830.11220569725776</v>
      </c>
      <c r="E54" s="36">
        <f t="shared" si="1"/>
        <v>3.7011651816312587E-2</v>
      </c>
      <c r="F54" s="22">
        <f t="shared" si="0"/>
        <v>3.7365732356026617E-2</v>
      </c>
    </row>
    <row r="55" spans="1:6">
      <c r="A55" s="449">
        <f t="shared" si="2"/>
        <v>2018</v>
      </c>
      <c r="B55" s="20">
        <f>B54*(1+'[7]Pronosticos PIB 2013-2027 '!M27)</f>
        <v>23326.662185480749</v>
      </c>
      <c r="C55" s="22">
        <f t="shared" si="3"/>
        <v>4.9999999999999989E-2</v>
      </c>
      <c r="D55" s="30">
        <f>D54*(1+'[7]Pronosticos MANU 2013-27 1996'!F29)</f>
        <v>864.67735372034247</v>
      </c>
      <c r="E55" s="36">
        <f t="shared" si="1"/>
        <v>4.1639127561136746E-2</v>
      </c>
      <c r="F55" s="22">
        <f t="shared" si="0"/>
        <v>3.7068198906680484E-2</v>
      </c>
    </row>
    <row r="56" spans="1:6">
      <c r="A56" s="449">
        <f t="shared" si="2"/>
        <v>2019</v>
      </c>
      <c r="B56" s="20">
        <f>B55*(1+'[7]Pronosticos PIB 2013-2027 '!M28)</f>
        <v>24492.995294754786</v>
      </c>
      <c r="C56" s="22">
        <f t="shared" si="3"/>
        <v>4.9999999999999989E-2</v>
      </c>
      <c r="D56" s="30">
        <f>D55*(1+'[7]Pronosticos MANU 2013-27 1996'!F30)</f>
        <v>897.8708688853684</v>
      </c>
      <c r="E56" s="36">
        <f t="shared" si="1"/>
        <v>3.8388324873096555E-2</v>
      </c>
      <c r="F56" s="22">
        <f t="shared" si="0"/>
        <v>3.6658271398829233E-2</v>
      </c>
    </row>
    <row r="57" spans="1:6">
      <c r="A57" s="449">
        <f t="shared" si="2"/>
        <v>2020</v>
      </c>
      <c r="B57" s="20">
        <f>B56*(1+'[7]Pronosticos PIB 2013-2027 '!M29)</f>
        <v>25717.645059492526</v>
      </c>
      <c r="C57" s="22">
        <f t="shared" si="3"/>
        <v>5.0000000000000031E-2</v>
      </c>
      <c r="D57" s="30">
        <f>D56*(1+'[7]Pronosticos MANU 2013-27 1996'!F31)</f>
        <v>935.45360919618281</v>
      </c>
      <c r="E57" s="36">
        <f t="shared" si="1"/>
        <v>4.1857622975863158E-2</v>
      </c>
      <c r="F57" s="22">
        <f t="shared" si="0"/>
        <v>3.6373999525703138E-2</v>
      </c>
    </row>
    <row r="58" spans="1:6">
      <c r="A58" s="449">
        <f t="shared" si="2"/>
        <v>2021</v>
      </c>
      <c r="B58" s="20">
        <f>B57*(1+'[7]Pronosticos PIB 2013-2027 '!M30)</f>
        <v>27003.527312467155</v>
      </c>
      <c r="C58" s="25">
        <f t="shared" si="3"/>
        <v>5.0000000000000086E-2</v>
      </c>
      <c r="D58" s="31">
        <f>D57*(1+'[7]Pronosticos MANU 2013-27 1996'!F32)</f>
        <v>970.01875721926774</v>
      </c>
      <c r="E58" s="40">
        <f t="shared" si="1"/>
        <v>3.6950146627566162E-2</v>
      </c>
      <c r="F58" s="25">
        <f t="shared" si="0"/>
        <v>3.592192775391323E-2</v>
      </c>
    </row>
    <row r="59" spans="1:6">
      <c r="A59" s="449">
        <f t="shared" si="2"/>
        <v>2022</v>
      </c>
      <c r="B59" s="20">
        <f>B58*(1+'[7]Pronosticos PIB 2013-2027 '!M31)</f>
        <v>28353.703678090515</v>
      </c>
      <c r="C59" s="25">
        <f t="shared" si="3"/>
        <v>5.0000000000000072E-2</v>
      </c>
      <c r="D59" s="112">
        <f>D58*(1+'[7]Pronosticos MANU 2013-27 1996'!F33)</f>
        <v>1003.2122723842934</v>
      </c>
      <c r="E59" s="40">
        <f t="shared" si="1"/>
        <v>3.4219457013574511E-2</v>
      </c>
      <c r="F59" s="25">
        <f t="shared" si="0"/>
        <v>3.5382053920507604E-2</v>
      </c>
    </row>
    <row r="60" spans="1:6">
      <c r="A60" s="449">
        <f t="shared" si="2"/>
        <v>2023</v>
      </c>
      <c r="B60" s="20">
        <f>B59*(1+'[7]Pronosticos PIB 2013-2027 '!M32)</f>
        <v>29771.388861995041</v>
      </c>
      <c r="C60" s="22">
        <f t="shared" si="3"/>
        <v>5.0000000000000031E-2</v>
      </c>
      <c r="D60" s="118">
        <f>D59*(1+'[7]Pronosticos MANU 2013-27 1996'!F34)</f>
        <v>1033.6625218332015</v>
      </c>
      <c r="E60" s="36">
        <f t="shared" si="1"/>
        <v>3.0352748154224809E-2</v>
      </c>
      <c r="F60" s="22">
        <f t="shared" si="0"/>
        <v>3.4719996659367598E-2</v>
      </c>
    </row>
    <row r="61" spans="1:6">
      <c r="A61" s="449">
        <f t="shared" si="2"/>
        <v>2024</v>
      </c>
      <c r="B61" s="20">
        <f>B60*(1+'[7]Pronosticos PIB 2013-2027 '!M33)</f>
        <v>31259.958305094795</v>
      </c>
      <c r="C61" s="22">
        <f>(B61-B60)/B60</f>
        <v>5.0000000000000058E-2</v>
      </c>
      <c r="D61" s="30">
        <f>D60*(1+'[7]Pronosticos MANU 2013-27 1996'!F35)</f>
        <v>1087.4305298691111</v>
      </c>
      <c r="E61" s="36">
        <f t="shared" si="1"/>
        <v>5.2016985138004207E-2</v>
      </c>
      <c r="F61" s="22">
        <f t="shared" si="0"/>
        <v>3.4786691628180454E-2</v>
      </c>
    </row>
    <row r="62" spans="1:6">
      <c r="A62" s="449">
        <f t="shared" si="2"/>
        <v>2025</v>
      </c>
      <c r="B62" s="20">
        <f>B61*(1+'[7]Pronosticos PIB 2013-2027 '!M34)</f>
        <v>32822.956220349537</v>
      </c>
      <c r="C62" s="22">
        <f t="shared" si="3"/>
        <v>5.0000000000000079E-2</v>
      </c>
      <c r="D62" s="30">
        <f>D61*(1+'[7]Pronosticos MANU 2013-27 1996'!F36)</f>
        <v>1124.7389436083135</v>
      </c>
      <c r="E62" s="36">
        <f t="shared" si="1"/>
        <v>3.4308779011099785E-2</v>
      </c>
      <c r="F62" s="22">
        <f t="shared" si="0"/>
        <v>3.4266838613122824E-2</v>
      </c>
    </row>
    <row r="63" spans="1:6">
      <c r="A63" s="449">
        <f t="shared" si="2"/>
        <v>2026</v>
      </c>
      <c r="B63" s="20">
        <f>B62*(1+'[7]Pronosticos PIB 2013-2027 '!M35)</f>
        <v>34464.104031367016</v>
      </c>
      <c r="C63" s="22">
        <f t="shared" si="3"/>
        <v>5.0000000000000079E-2</v>
      </c>
      <c r="D63" s="30">
        <f>D62*(1+'[7]Pronosticos MANU 2013-27 1996'!F37)</f>
        <v>1166.964455800294</v>
      </c>
      <c r="E63" s="36">
        <f t="shared" si="1"/>
        <v>3.7542500357029808E-2</v>
      </c>
      <c r="F63" s="22">
        <f t="shared" si="0"/>
        <v>3.3860287060943114E-2</v>
      </c>
    </row>
    <row r="64" spans="1:6">
      <c r="A64" s="449">
        <f t="shared" si="2"/>
        <v>2027</v>
      </c>
      <c r="B64" s="20">
        <f>B63*(1+'[7]Pronosticos PIB 2013-2027 '!M36)</f>
        <v>36187.309232935368</v>
      </c>
      <c r="C64" s="22">
        <f t="shared" si="3"/>
        <v>5.000000000000001E-2</v>
      </c>
      <c r="D64" s="30">
        <f>D63*(1+'[7]Pronosticos MANU 2013-27 1996'!F38)</f>
        <v>1210.7752192988175</v>
      </c>
      <c r="E64" s="36">
        <f>(D64-D63)/D63</f>
        <v>3.7542500357029746E-2</v>
      </c>
      <c r="F64" s="22">
        <f t="shared" si="0"/>
        <v>3.3458558952397813E-2</v>
      </c>
    </row>
    <row r="65" spans="1:6" ht="13.5" thickBot="1">
      <c r="A65" s="468"/>
      <c r="B65" s="115"/>
      <c r="C65" s="113"/>
      <c r="D65" s="110"/>
      <c r="E65" s="114"/>
      <c r="F65" s="113"/>
    </row>
    <row r="66" spans="1:6" ht="13.5" thickBot="1">
      <c r="A66" s="1338" t="s">
        <v>1</v>
      </c>
      <c r="B66" s="1339"/>
      <c r="C66" s="469">
        <f>AVERAGE(C49:C64)</f>
        <v>5.6242923016107713E-2</v>
      </c>
      <c r="D66" s="90"/>
      <c r="E66" s="470">
        <f>AVERAGE(E46:E64)</f>
        <v>3.4774235635315419E-2</v>
      </c>
      <c r="F66" s="469">
        <f>AVERAGE(F49:F64)</f>
        <v>3.6550077214746776E-2</v>
      </c>
    </row>
    <row r="67" spans="1:6" ht="24" customHeight="1">
      <c r="A67" s="268" t="s">
        <v>31</v>
      </c>
      <c r="B67" s="247"/>
      <c r="C67" s="438">
        <f>RATE(A45-A41,,-B41,B45)</f>
        <v>9.7109865686075436E-2</v>
      </c>
      <c r="D67" s="38"/>
      <c r="E67" s="438">
        <f>RATE(A45-A40,,-D40,D45)</f>
        <v>3.9351880496241429E-2</v>
      </c>
      <c r="F67" s="37"/>
    </row>
    <row r="68" spans="1:6" ht="54.75" customHeight="1">
      <c r="A68" s="1340" t="s">
        <v>160</v>
      </c>
      <c r="B68" s="1340"/>
      <c r="C68" s="1340"/>
      <c r="D68" s="1340"/>
      <c r="E68" s="1340"/>
      <c r="F68" s="997"/>
    </row>
    <row r="69" spans="1:6" ht="55.15" customHeight="1">
      <c r="A69" s="1340" t="s">
        <v>161</v>
      </c>
      <c r="B69" s="1340"/>
      <c r="C69" s="1340"/>
      <c r="D69" s="1340"/>
      <c r="E69" s="1340"/>
      <c r="F69" s="997"/>
    </row>
    <row r="70" spans="1:6" ht="13.15" customHeight="1">
      <c r="A70" s="997"/>
      <c r="B70" s="997"/>
      <c r="C70" s="997"/>
      <c r="D70" s="997"/>
      <c r="E70" s="997"/>
      <c r="F70" s="997"/>
    </row>
    <row r="71" spans="1:6" ht="13.15" customHeight="1">
      <c r="A71" s="997"/>
      <c r="B71" s="997"/>
      <c r="C71" s="997"/>
      <c r="D71" s="997"/>
      <c r="E71" s="997"/>
      <c r="F71" s="997"/>
    </row>
    <row r="72" spans="1:6">
      <c r="A72" s="997"/>
      <c r="B72" s="997"/>
      <c r="C72" s="997"/>
      <c r="D72" s="997"/>
      <c r="F72" s="997"/>
    </row>
    <row r="73" spans="1:6" ht="12.75" customHeight="1">
      <c r="A73" s="997"/>
      <c r="B73" s="997"/>
      <c r="C73" s="238" t="s">
        <v>36</v>
      </c>
      <c r="D73" s="1341" t="s">
        <v>39</v>
      </c>
      <c r="E73" s="238" t="s">
        <v>30</v>
      </c>
      <c r="F73" s="997"/>
    </row>
    <row r="74" spans="1:6">
      <c r="A74" s="268" t="s">
        <v>40</v>
      </c>
      <c r="C74" s="998" t="s">
        <v>41</v>
      </c>
      <c r="D74" s="1341"/>
      <c r="E74" s="998" t="s">
        <v>42</v>
      </c>
      <c r="F74" s="238" t="s">
        <v>43</v>
      </c>
    </row>
    <row r="75" spans="1:6">
      <c r="A75" s="238" t="s">
        <v>28</v>
      </c>
      <c r="C75" s="263">
        <f>AVERAGE(C17:C27)</f>
        <v>3.2448504887785744E-2</v>
      </c>
      <c r="D75" s="263">
        <f>+E75-C75</f>
        <v>-1.8258290883936532E-2</v>
      </c>
      <c r="E75" s="263">
        <f>AVERAGE(E17:E27)</f>
        <v>1.4190214003849212E-2</v>
      </c>
      <c r="F75" s="263">
        <f>AVERAGE(F17:F27)</f>
        <v>9.5776636202518764E-2</v>
      </c>
    </row>
    <row r="76" spans="1:6">
      <c r="A76" s="238" t="s">
        <v>44</v>
      </c>
      <c r="C76" s="263">
        <f>AVERAGE(C28:C37)</f>
        <v>4.5029592802015107E-2</v>
      </c>
      <c r="D76" s="263">
        <f>+E76-C76</f>
        <v>-1.8311491823968729E-2</v>
      </c>
      <c r="E76" s="263">
        <f>AVERAGE(E28:E37)</f>
        <v>2.6718100978046378E-2</v>
      </c>
      <c r="F76" s="263">
        <f>AVERAGE(F28:F37)</f>
        <v>9.4773349724320444E-2</v>
      </c>
    </row>
    <row r="77" spans="1:6">
      <c r="A77" s="239" t="s">
        <v>658</v>
      </c>
      <c r="C77" s="263">
        <f>AVERAGE(C38:C49)</f>
        <v>7.0386036623900181E-2</v>
      </c>
      <c r="D77" s="263">
        <f>+E77-C77</f>
        <v>-5.7818184099410079E-2</v>
      </c>
      <c r="E77" s="263">
        <f>AVERAGE(E38:E49)</f>
        <v>1.2567852524490102E-2</v>
      </c>
      <c r="F77" s="263">
        <f>AVERAGE(F38:F49)</f>
        <v>5.7154803518501884E-2</v>
      </c>
    </row>
    <row r="78" spans="1:6">
      <c r="A78" s="268" t="s">
        <v>45</v>
      </c>
      <c r="B78" s="268"/>
      <c r="C78" s="471">
        <f>MAX(C8:C44)</f>
        <v>0.19937617774075858</v>
      </c>
      <c r="E78" s="471">
        <f>MAX(E8:E44)</f>
        <v>0.13783716901756987</v>
      </c>
      <c r="F78" s="471">
        <f>MAX(F8:F44)</f>
        <v>0.12772069855769996</v>
      </c>
    </row>
    <row r="79" spans="1:6">
      <c r="A79" s="268" t="s">
        <v>7</v>
      </c>
      <c r="B79" s="268"/>
      <c r="C79" s="471"/>
      <c r="D79" s="263">
        <f>AVERAGE(D75:D77)</f>
        <v>-3.1462655602438445E-2</v>
      </c>
      <c r="E79" s="471"/>
      <c r="F79" s="471"/>
    </row>
    <row r="80" spans="1:6">
      <c r="A80" s="988">
        <v>2012</v>
      </c>
      <c r="B80" s="268"/>
      <c r="C80" s="472">
        <f>+C49</f>
        <v>9.3379194546871352E-2</v>
      </c>
      <c r="D80" s="91"/>
      <c r="E80" s="472">
        <f>+E49</f>
        <v>3.3694027049069486E-2</v>
      </c>
      <c r="F80" s="472">
        <f>+F49</f>
        <v>4.1191351614285207E-2</v>
      </c>
    </row>
    <row r="81" spans="1:6">
      <c r="A81" s="239" t="s">
        <v>403</v>
      </c>
      <c r="C81" s="263">
        <f>AVERAGE(C48:C49)</f>
        <v>0.10473418729953418</v>
      </c>
      <c r="D81" s="263">
        <f>+E81-C81</f>
        <v>-7.1740322411015481E-2</v>
      </c>
      <c r="E81" s="263">
        <f>AVERAGE(E48:E49)</f>
        <v>3.2993864888518701E-2</v>
      </c>
      <c r="F81" s="263">
        <f>AVERAGE(F48:F49)</f>
        <v>4.238053944754467E-2</v>
      </c>
    </row>
    <row r="82" spans="1:6">
      <c r="A82" s="239" t="s">
        <v>638</v>
      </c>
      <c r="C82" s="263">
        <f>AVERAGE(C50:C53)</f>
        <v>6.4126893427712953E-2</v>
      </c>
      <c r="D82" s="263">
        <f>+E82-C82</f>
        <v>-2.215817072046089E-2</v>
      </c>
      <c r="E82" s="263">
        <f>AVERAGE(E50:E53)</f>
        <v>4.1968722707252062E-2</v>
      </c>
      <c r="F82" s="263">
        <f>AVERAGE(F50:F53)</f>
        <v>3.8436831761497786E-2</v>
      </c>
    </row>
    <row r="83" spans="1:6">
      <c r="A83" s="239" t="s">
        <v>641</v>
      </c>
      <c r="C83" s="263">
        <f>AVERAGE(C54:C64)</f>
        <v>5.0000000000000044E-2</v>
      </c>
      <c r="D83" s="263">
        <f>+E83-C83</f>
        <v>-1.1651832374096574E-2</v>
      </c>
      <c r="E83" s="263">
        <f>AVERAGE(E54:E64)</f>
        <v>3.834816762590347E-2</v>
      </c>
      <c r="F83" s="263">
        <f>AVERAGE(F54:F64)</f>
        <v>3.5442050615970187E-2</v>
      </c>
    </row>
    <row r="86" spans="1:6">
      <c r="A86" s="239" t="s">
        <v>659</v>
      </c>
      <c r="C86" s="263">
        <f>AVERAGE(C42:C49)</f>
        <v>8.8818635379646516E-2</v>
      </c>
    </row>
    <row r="87" spans="1:6">
      <c r="A87" s="239" t="s">
        <v>660</v>
      </c>
      <c r="C87" s="263">
        <f>AVERAGE(C45:C49)</f>
        <v>8.4830966645351683E-2</v>
      </c>
    </row>
    <row r="88" spans="1:6">
      <c r="A88" s="239" t="s">
        <v>661</v>
      </c>
      <c r="C88" s="263">
        <f>AVERAGE(C47:C49)</f>
        <v>9.6257931985958264E-2</v>
      </c>
    </row>
    <row r="89" spans="1:6">
      <c r="A89" s="239" t="s">
        <v>541</v>
      </c>
      <c r="C89" s="263">
        <f>AVERAGE(C8:C49)</f>
        <v>4.879430957284113E-2</v>
      </c>
    </row>
  </sheetData>
  <mergeCells count="5">
    <mergeCell ref="A2:F2"/>
    <mergeCell ref="A66:B66"/>
    <mergeCell ref="A68:E68"/>
    <mergeCell ref="A69:E69"/>
    <mergeCell ref="D73:D74"/>
  </mergeCells>
  <printOptions horizontalCentered="1" verticalCentered="1"/>
  <pageMargins left="0.35433070866141736" right="0.35433070866141736" top="0.70866141732283472" bottom="0.9055118110236221" header="0" footer="0.43307086614173229"/>
  <pageSetup scale="69" orientation="portrait" r:id="rId1"/>
  <headerFooter alignWithMargins="0">
    <oddFooter>&amp;LARCHIVO:  &amp;F
HOJA:  &amp;A&amp;R&amp;D</oddFooter>
  </headerFooter>
  <drawing r:id="rId2"/>
</worksheet>
</file>

<file path=xl/worksheets/sheet13.xml><?xml version="1.0" encoding="utf-8"?>
<worksheet xmlns="http://schemas.openxmlformats.org/spreadsheetml/2006/main" xmlns:r="http://schemas.openxmlformats.org/officeDocument/2006/relationships">
  <sheetPr>
    <pageSetUpPr fitToPage="1"/>
  </sheetPr>
  <dimension ref="A1:O88"/>
  <sheetViews>
    <sheetView topLeftCell="A57" workbookViewId="0">
      <selection activeCell="D64" sqref="D64"/>
    </sheetView>
  </sheetViews>
  <sheetFormatPr baseColWidth="10" defaultRowHeight="12.75"/>
  <cols>
    <col min="1" max="1" width="10.140625" style="238" customWidth="1"/>
    <col min="2" max="2" width="7.7109375" style="238" bestFit="1" customWidth="1"/>
    <col min="3" max="3" width="9.140625" style="238" customWidth="1"/>
    <col min="4" max="4" width="10.140625" style="12" bestFit="1" customWidth="1"/>
    <col min="5" max="6" width="7.5703125" style="238" customWidth="1"/>
    <col min="7" max="12" width="11.42578125" style="238"/>
    <col min="13" max="13" width="7.5703125" style="238" customWidth="1"/>
    <col min="14" max="16384" width="11.42578125" style="238"/>
  </cols>
  <sheetData>
    <row r="1" spans="1:13">
      <c r="A1" s="268" t="s">
        <v>662</v>
      </c>
    </row>
    <row r="2" spans="1:13" ht="18">
      <c r="A2" s="1236" t="s">
        <v>157</v>
      </c>
      <c r="B2" s="1236"/>
      <c r="C2" s="1236"/>
      <c r="D2" s="1236"/>
      <c r="E2" s="1236"/>
      <c r="F2" s="1236"/>
      <c r="G2" s="996"/>
      <c r="H2" s="996"/>
      <c r="I2" s="996"/>
      <c r="J2" s="996"/>
      <c r="K2" s="996"/>
      <c r="L2" s="996"/>
      <c r="M2" s="996"/>
    </row>
    <row r="3" spans="1:13">
      <c r="A3" s="268" t="s">
        <v>401</v>
      </c>
      <c r="D3" s="988" t="s">
        <v>374</v>
      </c>
    </row>
    <row r="4" spans="1:13" ht="13.5" thickBot="1">
      <c r="A4" s="238" t="s">
        <v>29</v>
      </c>
    </row>
    <row r="5" spans="1:13">
      <c r="A5" s="445" t="s">
        <v>8</v>
      </c>
      <c r="B5" s="446" t="s">
        <v>0</v>
      </c>
      <c r="C5" s="447" t="s">
        <v>37</v>
      </c>
      <c r="D5" s="28" t="s">
        <v>30</v>
      </c>
      <c r="E5" s="446" t="s">
        <v>37</v>
      </c>
      <c r="F5" s="447" t="s">
        <v>38</v>
      </c>
    </row>
    <row r="6" spans="1:13" hidden="1">
      <c r="A6" s="1141"/>
      <c r="B6" s="1142" t="s">
        <v>656</v>
      </c>
      <c r="C6" s="1143"/>
      <c r="D6" s="1144" t="s">
        <v>657</v>
      </c>
      <c r="E6" s="1142"/>
      <c r="F6" s="1143"/>
    </row>
    <row r="7" spans="1:13">
      <c r="A7" s="461">
        <v>1970</v>
      </c>
      <c r="B7" s="34">
        <f>[7]Datos!CX5</f>
        <v>2351.4156921131657</v>
      </c>
      <c r="C7" s="1145"/>
      <c r="D7" s="29">
        <f>[7]Datos!AB5</f>
        <v>305.02217877094967</v>
      </c>
      <c r="E7" s="448"/>
      <c r="F7" s="32">
        <f t="shared" ref="F7:F63" si="0">+D7/B7</f>
        <v>0.12971852650044743</v>
      </c>
    </row>
    <row r="8" spans="1:13">
      <c r="A8" s="449">
        <f>A7+1</f>
        <v>1971</v>
      </c>
      <c r="B8" s="20">
        <f>[7]Datos!CX6</f>
        <v>2577.6500691901069</v>
      </c>
      <c r="C8" s="22">
        <f>(B8-B7)/B7</f>
        <v>9.6211987457491752E-2</v>
      </c>
      <c r="D8" s="30">
        <f>[7]Datos!AB6</f>
        <v>324.43050279329606</v>
      </c>
      <c r="E8" s="21">
        <f t="shared" ref="E8:E63" si="1">(D8-D7)/D7</f>
        <v>6.3629222309505198E-2</v>
      </c>
      <c r="F8" s="22">
        <f t="shared" si="0"/>
        <v>0.12586289608163592</v>
      </c>
    </row>
    <row r="9" spans="1:13">
      <c r="A9" s="449">
        <f t="shared" ref="A9:A64" si="2">A8+1</f>
        <v>1972</v>
      </c>
      <c r="B9" s="20">
        <f>[7]Datos!CX7</f>
        <v>2689.0848543566476</v>
      </c>
      <c r="C9" s="22">
        <f t="shared" ref="C9:C64" si="3">(B9-B8)/B8</f>
        <v>4.3231153250197878E-2</v>
      </c>
      <c r="D9" s="30">
        <f>[7]Datos!AB7</f>
        <v>339.28625698324015</v>
      </c>
      <c r="E9" s="21">
        <f t="shared" si="1"/>
        <v>4.5790251107828535E-2</v>
      </c>
      <c r="F9" s="22">
        <f t="shared" si="0"/>
        <v>0.12617164401991807</v>
      </c>
    </row>
    <row r="10" spans="1:13">
      <c r="A10" s="449">
        <f t="shared" si="2"/>
        <v>1973</v>
      </c>
      <c r="B10" s="20">
        <f>[7]Datos!CX8</f>
        <v>2823.437834166356</v>
      </c>
      <c r="C10" s="22">
        <f t="shared" si="3"/>
        <v>4.9962342985212994E-2</v>
      </c>
      <c r="D10" s="30">
        <f>[7]Datos!AB8</f>
        <v>360.61145251396641</v>
      </c>
      <c r="E10" s="21">
        <f t="shared" si="1"/>
        <v>6.28531073446328E-2</v>
      </c>
      <c r="F10" s="22">
        <f t="shared" si="0"/>
        <v>0.12772069855769996</v>
      </c>
    </row>
    <row r="11" spans="1:13">
      <c r="A11" s="449">
        <f t="shared" si="2"/>
        <v>1974</v>
      </c>
      <c r="B11" s="20">
        <f>[7]Datos!CX9</f>
        <v>2903.6383679935257</v>
      </c>
      <c r="C11" s="22">
        <f t="shared" si="3"/>
        <v>2.8405277019619448E-2</v>
      </c>
      <c r="D11" s="30">
        <f>[7]Datos!AB9</f>
        <v>365.40363128491617</v>
      </c>
      <c r="E11" s="21">
        <f t="shared" si="1"/>
        <v>1.3289036544850611E-2</v>
      </c>
      <c r="F11" s="22">
        <f t="shared" si="0"/>
        <v>0.12584336786313291</v>
      </c>
    </row>
    <row r="12" spans="1:13">
      <c r="A12" s="449">
        <f t="shared" si="2"/>
        <v>1975</v>
      </c>
      <c r="B12" s="20">
        <f>[7]Datos!CX10</f>
        <v>2910.1245026717997</v>
      </c>
      <c r="C12" s="22">
        <f t="shared" si="3"/>
        <v>2.2337956233703226E-3</v>
      </c>
      <c r="D12" s="30">
        <f>[7]Datos!AB10</f>
        <v>352.22513966480443</v>
      </c>
      <c r="E12" s="21">
        <f t="shared" si="1"/>
        <v>-3.6065573770491834E-2</v>
      </c>
      <c r="F12" s="22">
        <f t="shared" si="0"/>
        <v>0.12103438850861012</v>
      </c>
    </row>
    <row r="13" spans="1:13">
      <c r="A13" s="449">
        <f t="shared" si="2"/>
        <v>1976</v>
      </c>
      <c r="B13" s="20">
        <f>[7]Datos!CX11</f>
        <v>2949.1723957981726</v>
      </c>
      <c r="C13" s="22">
        <f t="shared" si="3"/>
        <v>1.3417945895621576E-2</v>
      </c>
      <c r="D13" s="30">
        <f>[7]Datos!AB11</f>
        <v>361.09067039106139</v>
      </c>
      <c r="E13" s="21">
        <f t="shared" si="1"/>
        <v>2.5170068027210831E-2</v>
      </c>
      <c r="F13" s="22">
        <f t="shared" si="0"/>
        <v>0.12243796629370483</v>
      </c>
    </row>
    <row r="14" spans="1:13">
      <c r="A14" s="449">
        <f t="shared" si="2"/>
        <v>1977</v>
      </c>
      <c r="B14" s="20">
        <f>[7]Datos!CX12</f>
        <v>2985.6550172110965</v>
      </c>
      <c r="C14" s="22">
        <f t="shared" si="3"/>
        <v>1.2370460765502359E-2</v>
      </c>
      <c r="D14" s="30">
        <f>[7]Datos!AB12</f>
        <v>365.40363128491612</v>
      </c>
      <c r="E14" s="21">
        <f t="shared" si="1"/>
        <v>1.194426011944253E-2</v>
      </c>
      <c r="F14" s="22">
        <f t="shared" si="0"/>
        <v>0.12238642079493833</v>
      </c>
    </row>
    <row r="15" spans="1:13">
      <c r="A15" s="449">
        <f t="shared" si="2"/>
        <v>1978</v>
      </c>
      <c r="B15" s="20">
        <f>[7]Datos!CX13</f>
        <v>3300.2084216849612</v>
      </c>
      <c r="C15" s="22">
        <f t="shared" si="3"/>
        <v>0.10535490626364775</v>
      </c>
      <c r="D15" s="30">
        <f>[7]Datos!AB13</f>
        <v>371.15424581005578</v>
      </c>
      <c r="E15" s="21">
        <f t="shared" si="1"/>
        <v>1.5737704918032797E-2</v>
      </c>
      <c r="F15" s="22">
        <f t="shared" si="0"/>
        <v>0.11246388057532394</v>
      </c>
    </row>
    <row r="16" spans="1:13">
      <c r="A16" s="449">
        <f t="shared" si="2"/>
        <v>1979</v>
      </c>
      <c r="B16" s="20">
        <f>[7]Datos!CX14</f>
        <v>3453.0450719817218</v>
      </c>
      <c r="C16" s="22">
        <f t="shared" si="3"/>
        <v>4.6311211526067188E-2</v>
      </c>
      <c r="D16" s="30">
        <f>[7]Datos!AB14</f>
        <v>412.1273743016759</v>
      </c>
      <c r="E16" s="21">
        <f t="shared" si="1"/>
        <v>0.11039380245319565</v>
      </c>
      <c r="F16" s="22">
        <f t="shared" si="0"/>
        <v>0.11935186645714813</v>
      </c>
    </row>
    <row r="17" spans="1:6">
      <c r="A17" s="449">
        <f t="shared" si="2"/>
        <v>1980</v>
      </c>
      <c r="B17" s="20">
        <f>[7]Datos!CX15</f>
        <v>4141.5</v>
      </c>
      <c r="C17" s="22">
        <f t="shared" si="3"/>
        <v>0.19937617774075858</v>
      </c>
      <c r="D17" s="30">
        <f>[7]Datos!AB15</f>
        <v>428.9</v>
      </c>
      <c r="E17" s="21">
        <f t="shared" si="1"/>
        <v>4.0697674418604793E-2</v>
      </c>
      <c r="F17" s="22">
        <f t="shared" si="0"/>
        <v>0.10356151152963901</v>
      </c>
    </row>
    <row r="18" spans="1:6">
      <c r="A18" s="449">
        <f t="shared" si="2"/>
        <v>1981</v>
      </c>
      <c r="B18" s="20">
        <f>[7]Datos!CX16</f>
        <v>4522.8</v>
      </c>
      <c r="C18" s="22">
        <f t="shared" si="3"/>
        <v>9.206809127127856E-2</v>
      </c>
      <c r="D18" s="30">
        <f>[7]Datos!AB16</f>
        <v>418</v>
      </c>
      <c r="E18" s="21">
        <f t="shared" si="1"/>
        <v>-2.5413849382140308E-2</v>
      </c>
      <c r="F18" s="22">
        <f t="shared" si="0"/>
        <v>9.2420624391969575E-2</v>
      </c>
    </row>
    <row r="19" spans="1:6">
      <c r="A19" s="449">
        <f t="shared" si="2"/>
        <v>1982</v>
      </c>
      <c r="B19" s="20">
        <f>[7]Datos!CX17</f>
        <v>4764.7</v>
      </c>
      <c r="C19" s="22">
        <f t="shared" si="3"/>
        <v>5.3484567082338293E-2</v>
      </c>
      <c r="D19" s="30">
        <f>[7]Datos!AB17</f>
        <v>433</v>
      </c>
      <c r="E19" s="21">
        <f t="shared" si="1"/>
        <v>3.5885167464114832E-2</v>
      </c>
      <c r="F19" s="22">
        <f t="shared" si="0"/>
        <v>9.0876655403278273E-2</v>
      </c>
    </row>
    <row r="20" spans="1:6">
      <c r="A20" s="449">
        <f t="shared" si="2"/>
        <v>1983</v>
      </c>
      <c r="B20" s="20">
        <f>[7]Datos!CX18</f>
        <v>4550.7000000000007</v>
      </c>
      <c r="C20" s="22">
        <f t="shared" si="3"/>
        <v>-4.4913635695846346E-2</v>
      </c>
      <c r="D20" s="30">
        <f>[7]Datos!AB18</f>
        <v>423.7</v>
      </c>
      <c r="E20" s="21">
        <f t="shared" si="1"/>
        <v>-2.1478060046189403E-2</v>
      </c>
      <c r="F20" s="22">
        <f t="shared" si="0"/>
        <v>9.3106555035489022E-2</v>
      </c>
    </row>
    <row r="21" spans="1:6">
      <c r="A21" s="449">
        <f t="shared" si="2"/>
        <v>1984</v>
      </c>
      <c r="B21" s="20">
        <f>[7]Datos!CX19</f>
        <v>4674.0000000000009</v>
      </c>
      <c r="C21" s="22">
        <f t="shared" si="3"/>
        <v>2.709473267848906E-2</v>
      </c>
      <c r="D21" s="30">
        <f>[7]Datos!AB19</f>
        <v>452.7</v>
      </c>
      <c r="E21" s="21">
        <f t="shared" si="1"/>
        <v>6.8444654236488087E-2</v>
      </c>
      <c r="F21" s="22">
        <f t="shared" si="0"/>
        <v>9.6854942233632835E-2</v>
      </c>
    </row>
    <row r="22" spans="1:6">
      <c r="A22" s="449">
        <f t="shared" si="2"/>
        <v>1985</v>
      </c>
      <c r="B22" s="20">
        <f>[7]Datos!CX20</f>
        <v>4905.0000000000009</v>
      </c>
      <c r="C22" s="22">
        <f t="shared" si="3"/>
        <v>4.9422336328626436E-2</v>
      </c>
      <c r="D22" s="30">
        <f>[7]Datos!AB20</f>
        <v>478.1</v>
      </c>
      <c r="E22" s="21">
        <f t="shared" si="1"/>
        <v>5.6107797658493559E-2</v>
      </c>
      <c r="F22" s="22">
        <f t="shared" si="0"/>
        <v>9.7471967380224248E-2</v>
      </c>
    </row>
    <row r="23" spans="1:6">
      <c r="A23" s="449">
        <f t="shared" si="2"/>
        <v>1986</v>
      </c>
      <c r="B23" s="20">
        <f>[7]Datos!CX21</f>
        <v>5080.0000000000009</v>
      </c>
      <c r="C23" s="22">
        <f t="shared" si="3"/>
        <v>3.5677879714576956E-2</v>
      </c>
      <c r="D23" s="30">
        <f>[7]Datos!AB21</f>
        <v>481.4</v>
      </c>
      <c r="E23" s="21">
        <f t="shared" si="1"/>
        <v>6.9023216900229124E-3</v>
      </c>
      <c r="F23" s="22">
        <f t="shared" si="0"/>
        <v>9.4763779527559031E-2</v>
      </c>
    </row>
    <row r="24" spans="1:6">
      <c r="A24" s="449">
        <f t="shared" si="2"/>
        <v>1987</v>
      </c>
      <c r="B24" s="20">
        <f>[7]Datos!CX22</f>
        <v>4988.1000000000004</v>
      </c>
      <c r="C24" s="22">
        <f t="shared" si="3"/>
        <v>-1.8090551181102466E-2</v>
      </c>
      <c r="D24" s="30">
        <f>[7]Datos!AB22</f>
        <v>514.5</v>
      </c>
      <c r="E24" s="21">
        <f t="shared" si="1"/>
        <v>6.8757789779808939E-2</v>
      </c>
      <c r="F24" s="22">
        <f t="shared" si="0"/>
        <v>0.10314548625729235</v>
      </c>
    </row>
    <row r="25" spans="1:6">
      <c r="A25" s="449">
        <f t="shared" si="2"/>
        <v>1988</v>
      </c>
      <c r="B25" s="20">
        <f>[7]Datos!CX23</f>
        <v>4320.7</v>
      </c>
      <c r="C25" s="22">
        <f t="shared" si="3"/>
        <v>-0.13379844028788526</v>
      </c>
      <c r="D25" s="30">
        <f>[7]Datos!AB23</f>
        <v>398.9</v>
      </c>
      <c r="E25" s="21">
        <f t="shared" si="1"/>
        <v>-0.22468415937803699</v>
      </c>
      <c r="F25" s="22">
        <f t="shared" si="0"/>
        <v>9.2323003217071306E-2</v>
      </c>
    </row>
    <row r="26" spans="1:6">
      <c r="A26" s="449">
        <f t="shared" si="2"/>
        <v>1989</v>
      </c>
      <c r="B26" s="20">
        <f>[7]Datos!CX24</f>
        <v>4388.2000000000007</v>
      </c>
      <c r="C26" s="22">
        <f t="shared" si="3"/>
        <v>1.5622468581480064E-2</v>
      </c>
      <c r="D26" s="30">
        <f>[7]Datos!AB24</f>
        <v>404.1</v>
      </c>
      <c r="E26" s="21">
        <f t="shared" si="1"/>
        <v>1.3035848583605028E-2</v>
      </c>
      <c r="F26" s="22">
        <f t="shared" si="0"/>
        <v>9.208787202041839E-2</v>
      </c>
    </row>
    <row r="27" spans="1:6">
      <c r="A27" s="449">
        <f t="shared" si="2"/>
        <v>1990</v>
      </c>
      <c r="B27" s="20">
        <f>[7]Datos!CX25</f>
        <v>4743.6000000000013</v>
      </c>
      <c r="C27" s="22">
        <f t="shared" si="3"/>
        <v>8.0989927532929329E-2</v>
      </c>
      <c r="D27" s="30">
        <f>[7]Datos!AB25</f>
        <v>459.8</v>
      </c>
      <c r="E27" s="21">
        <f t="shared" si="1"/>
        <v>0.13783716901756987</v>
      </c>
      <c r="F27" s="22">
        <f t="shared" si="0"/>
        <v>9.6930601231132452E-2</v>
      </c>
    </row>
    <row r="28" spans="1:6">
      <c r="A28" s="449">
        <f t="shared" si="2"/>
        <v>1991</v>
      </c>
      <c r="B28" s="20">
        <f>[7]Datos!CX26</f>
        <v>5190.4000000000005</v>
      </c>
      <c r="C28" s="22">
        <f t="shared" si="3"/>
        <v>9.4190066616072002E-2</v>
      </c>
      <c r="D28" s="30">
        <f>[7]Datos!AB26</f>
        <v>507.9</v>
      </c>
      <c r="E28" s="21">
        <f t="shared" si="1"/>
        <v>0.10461070030448014</v>
      </c>
      <c r="F28" s="22">
        <f t="shared" si="0"/>
        <v>9.7853729963008618E-2</v>
      </c>
    </row>
    <row r="29" spans="1:6">
      <c r="A29" s="449">
        <f t="shared" si="2"/>
        <v>1992</v>
      </c>
      <c r="B29" s="20">
        <f>[7]Datos!CX27</f>
        <v>5616.1</v>
      </c>
      <c r="C29" s="22">
        <f t="shared" si="3"/>
        <v>8.2016800246609081E-2</v>
      </c>
      <c r="D29" s="30">
        <f>[7]Datos!AB27</f>
        <v>554.4</v>
      </c>
      <c r="E29" s="21">
        <f t="shared" si="1"/>
        <v>9.1553455404607215E-2</v>
      </c>
      <c r="F29" s="22">
        <f t="shared" si="0"/>
        <v>9.8716190951015817E-2</v>
      </c>
    </row>
    <row r="30" spans="1:6">
      <c r="A30" s="449">
        <f t="shared" si="2"/>
        <v>1993</v>
      </c>
      <c r="B30" s="20">
        <f>[7]Datos!CX28</f>
        <v>5922.5</v>
      </c>
      <c r="C30" s="22">
        <f t="shared" si="3"/>
        <v>5.455743309413999E-2</v>
      </c>
      <c r="D30" s="30">
        <f>[7]Datos!AB28</f>
        <v>589.5</v>
      </c>
      <c r="E30" s="21">
        <f t="shared" si="1"/>
        <v>6.3311688311688361E-2</v>
      </c>
      <c r="F30" s="22">
        <f t="shared" si="0"/>
        <v>9.9535669058674545E-2</v>
      </c>
    </row>
    <row r="31" spans="1:6">
      <c r="A31" s="449">
        <f t="shared" si="2"/>
        <v>1994</v>
      </c>
      <c r="B31" s="20">
        <f>[7]Datos!CX29</f>
        <v>6091.3</v>
      </c>
      <c r="C31" s="22">
        <f t="shared" si="3"/>
        <v>2.8501477416631522E-2</v>
      </c>
      <c r="D31" s="30">
        <f>[7]Datos!AB29</f>
        <v>614.6</v>
      </c>
      <c r="E31" s="21">
        <f t="shared" si="1"/>
        <v>4.2578456318914375E-2</v>
      </c>
      <c r="F31" s="22">
        <f t="shared" si="0"/>
        <v>0.10089800206852396</v>
      </c>
    </row>
    <row r="32" spans="1:6">
      <c r="A32" s="449">
        <f t="shared" si="2"/>
        <v>1995</v>
      </c>
      <c r="B32" s="20">
        <f>[7]Datos!CX30</f>
        <v>6198</v>
      </c>
      <c r="C32" s="22">
        <f t="shared" si="3"/>
        <v>1.7516786236107206E-2</v>
      </c>
      <c r="D32" s="30">
        <f>[7]Datos!AB30</f>
        <v>615.79999999999995</v>
      </c>
      <c r="E32" s="21">
        <f t="shared" si="1"/>
        <v>1.9524894240155089E-3</v>
      </c>
      <c r="F32" s="22">
        <f t="shared" si="0"/>
        <v>9.9354630525976109E-2</v>
      </c>
    </row>
    <row r="33" spans="1:15">
      <c r="A33" s="449">
        <f t="shared" si="2"/>
        <v>1996</v>
      </c>
      <c r="B33" s="20">
        <f>[7]Datos!CX31</f>
        <v>6372.2000000000007</v>
      </c>
      <c r="C33" s="22">
        <f t="shared" si="3"/>
        <v>2.8105840593740033E-2</v>
      </c>
      <c r="D33" s="30">
        <f>[7]Datos!AB31</f>
        <v>608.1</v>
      </c>
      <c r="E33" s="21">
        <f t="shared" si="1"/>
        <v>-1.2504059759662118E-2</v>
      </c>
      <c r="F33" s="22">
        <f t="shared" si="0"/>
        <v>9.5430149712815035E-2</v>
      </c>
    </row>
    <row r="34" spans="1:15">
      <c r="A34" s="449">
        <f t="shared" si="2"/>
        <v>1997</v>
      </c>
      <c r="B34" s="20">
        <f>[7]Datos!CX32</f>
        <v>6807.2766047027162</v>
      </c>
      <c r="C34" s="22">
        <f t="shared" si="3"/>
        <v>6.8277299002340711E-2</v>
      </c>
      <c r="D34" s="30">
        <f>[7]Datos!AB32</f>
        <v>627.8988604503935</v>
      </c>
      <c r="E34" s="21">
        <f t="shared" si="1"/>
        <v>3.2558560188116224E-2</v>
      </c>
      <c r="F34" s="22">
        <f t="shared" si="0"/>
        <v>9.2239363391905943E-2</v>
      </c>
    </row>
    <row r="35" spans="1:15">
      <c r="A35" s="449">
        <f t="shared" si="2"/>
        <v>1998</v>
      </c>
      <c r="B35" s="20">
        <f>[7]Datos!CX33</f>
        <v>6947.1999999999989</v>
      </c>
      <c r="C35" s="22">
        <f t="shared" si="3"/>
        <v>2.0554974246326126E-2</v>
      </c>
      <c r="D35" s="30">
        <f>[7]Datos!AB33</f>
        <v>672.1</v>
      </c>
      <c r="E35" s="21">
        <f t="shared" si="1"/>
        <v>7.0395317357163117E-2</v>
      </c>
      <c r="F35" s="22">
        <f t="shared" si="0"/>
        <v>9.6744011976047928E-2</v>
      </c>
    </row>
    <row r="36" spans="1:15">
      <c r="A36" s="449">
        <f t="shared" si="2"/>
        <v>1999</v>
      </c>
      <c r="B36" s="20">
        <f>[7]Datos!CX34</f>
        <v>7169.9000000000005</v>
      </c>
      <c r="C36" s="22">
        <f t="shared" si="3"/>
        <v>3.2056080147397754E-2</v>
      </c>
      <c r="D36" s="30">
        <f>[7]Datos!AB34</f>
        <v>622</v>
      </c>
      <c r="E36" s="21">
        <f t="shared" si="1"/>
        <v>-7.4542478797797976E-2</v>
      </c>
      <c r="F36" s="22">
        <f t="shared" si="0"/>
        <v>8.675155859914363E-2</v>
      </c>
    </row>
    <row r="37" spans="1:15">
      <c r="A37" s="449">
        <f t="shared" si="2"/>
        <v>2000</v>
      </c>
      <c r="B37" s="20">
        <f>[7]Datos!CX35</f>
        <v>7345.6999999999989</v>
      </c>
      <c r="C37" s="22">
        <f t="shared" si="3"/>
        <v>2.4519170420786669E-2</v>
      </c>
      <c r="D37" s="30">
        <f>[7]Datos!AB35</f>
        <v>589.20000000000005</v>
      </c>
      <c r="E37" s="21">
        <f t="shared" si="1"/>
        <v>-5.2733118971061019E-2</v>
      </c>
      <c r="F37" s="22">
        <f t="shared" si="0"/>
        <v>8.0210190996092973E-2</v>
      </c>
    </row>
    <row r="38" spans="1:15">
      <c r="A38" s="449">
        <f t="shared" si="2"/>
        <v>2001</v>
      </c>
      <c r="B38" s="20">
        <f>[7]Datos!CX36</f>
        <v>7372.61010719755</v>
      </c>
      <c r="C38" s="22">
        <f t="shared" si="3"/>
        <v>3.6633822777340547E-3</v>
      </c>
      <c r="D38" s="30">
        <f>[7]Datos!AB36</f>
        <v>555.6</v>
      </c>
      <c r="E38" s="21">
        <f t="shared" si="1"/>
        <v>-5.7026476578411436E-2</v>
      </c>
      <c r="F38" s="22">
        <f t="shared" si="0"/>
        <v>7.5360013878611673E-2</v>
      </c>
    </row>
    <row r="39" spans="1:15">
      <c r="A39" s="449">
        <f t="shared" si="2"/>
        <v>2002</v>
      </c>
      <c r="B39" s="20">
        <f>[7]Datos!CX37</f>
        <v>7682.2686741081388</v>
      </c>
      <c r="C39" s="22">
        <f t="shared" si="3"/>
        <v>4.2001212922989521E-2</v>
      </c>
      <c r="D39" s="30">
        <f>[7]Datos!AB37</f>
        <v>541.03735749780765</v>
      </c>
      <c r="E39" s="21">
        <f t="shared" si="1"/>
        <v>-2.6210659651174181E-2</v>
      </c>
      <c r="F39" s="22">
        <f t="shared" si="0"/>
        <v>7.0426768504112308E-2</v>
      </c>
    </row>
    <row r="40" spans="1:15">
      <c r="A40" s="449">
        <f t="shared" si="2"/>
        <v>2003</v>
      </c>
      <c r="B40" s="20">
        <f>[7]Datos!CX38</f>
        <v>7881.9392110616636</v>
      </c>
      <c r="C40" s="22">
        <f t="shared" si="3"/>
        <v>2.5991090057352784E-2</v>
      </c>
      <c r="D40" s="30">
        <f>[7]Datos!AB38</f>
        <v>522.63104355451617</v>
      </c>
      <c r="E40" s="21">
        <f t="shared" si="1"/>
        <v>-3.4020412247348489E-2</v>
      </c>
      <c r="F40" s="22">
        <f t="shared" si="0"/>
        <v>6.6307418715060101E-2</v>
      </c>
    </row>
    <row r="41" spans="1:15">
      <c r="A41" s="449">
        <f t="shared" si="2"/>
        <v>2004</v>
      </c>
      <c r="B41" s="20">
        <f>[7]Datos!CX39</f>
        <v>8373.9903204816346</v>
      </c>
      <c r="C41" s="22">
        <f t="shared" si="3"/>
        <v>6.242767119155361E-2</v>
      </c>
      <c r="D41" s="30">
        <f>[7]Datos!AB39</f>
        <v>533.51242326805016</v>
      </c>
      <c r="E41" s="21">
        <f t="shared" si="1"/>
        <v>2.0820385332504538E-2</v>
      </c>
      <c r="F41" s="22">
        <f t="shared" si="0"/>
        <v>6.3710656789649225E-2</v>
      </c>
    </row>
    <row r="42" spans="1:15">
      <c r="A42" s="449">
        <f t="shared" si="2"/>
        <v>2005</v>
      </c>
      <c r="B42" s="20">
        <f>[7]Datos!CX40</f>
        <v>9081.422412048847</v>
      </c>
      <c r="C42" s="22">
        <f t="shared" si="3"/>
        <v>8.4479688236196102E-2</v>
      </c>
      <c r="D42" s="30">
        <f>[7]Datos!AB40</f>
        <v>555.92481730488157</v>
      </c>
      <c r="E42" s="21">
        <f t="shared" si="1"/>
        <v>4.200913242009148E-2</v>
      </c>
      <c r="F42" s="22">
        <f t="shared" si="0"/>
        <v>6.1215610515738594E-2</v>
      </c>
    </row>
    <row r="43" spans="1:15">
      <c r="A43" s="450">
        <f t="shared" si="2"/>
        <v>2006</v>
      </c>
      <c r="B43" s="24">
        <f>[7]Datos!CX41</f>
        <v>9788.3682028639505</v>
      </c>
      <c r="C43" s="25">
        <f t="shared" si="3"/>
        <v>7.784527122944504E-2</v>
      </c>
      <c r="D43" s="31">
        <f>[7]Datos!AB41</f>
        <v>577.47103186202855</v>
      </c>
      <c r="E43" s="89">
        <f t="shared" si="1"/>
        <v>3.8757425260492653E-2</v>
      </c>
      <c r="F43" s="25">
        <f t="shared" si="0"/>
        <v>5.8995638485796635E-2</v>
      </c>
      <c r="N43" s="238" t="s">
        <v>32</v>
      </c>
      <c r="O43" s="238" t="s">
        <v>33</v>
      </c>
    </row>
    <row r="44" spans="1:15">
      <c r="A44" s="450">
        <f t="shared" si="2"/>
        <v>2007</v>
      </c>
      <c r="B44" s="24">
        <f>[7]Datos!CX42</f>
        <v>11002.804099426618</v>
      </c>
      <c r="C44" s="25">
        <f t="shared" si="3"/>
        <v>0.12406929034477256</v>
      </c>
      <c r="D44" s="31">
        <f>[7]Datos!AB42</f>
        <v>609.95276235018991</v>
      </c>
      <c r="E44" s="89">
        <f t="shared" si="1"/>
        <v>5.6248242242429941E-2</v>
      </c>
      <c r="F44" s="25">
        <f t="shared" si="0"/>
        <v>5.5436119450856712E-2</v>
      </c>
    </row>
    <row r="45" spans="1:15">
      <c r="A45" s="451">
        <f t="shared" si="2"/>
        <v>2008</v>
      </c>
      <c r="B45" s="452">
        <f>[7]Datos!CX43</f>
        <v>12132.014935933918</v>
      </c>
      <c r="C45" s="453">
        <f>(B45-B44)/B44</f>
        <v>0.10262936850490194</v>
      </c>
      <c r="D45" s="454">
        <f>[7]Datos!AB43</f>
        <v>633.88172838351363</v>
      </c>
      <c r="E45" s="455">
        <f t="shared" si="1"/>
        <v>3.9230851158249973E-2</v>
      </c>
      <c r="F45" s="453">
        <f t="shared" si="0"/>
        <v>5.2248676887630102E-2</v>
      </c>
    </row>
    <row r="46" spans="1:15">
      <c r="A46" s="456">
        <f t="shared" si="2"/>
        <v>2009</v>
      </c>
      <c r="B46" s="457">
        <f>[7]Datos!CX44</f>
        <v>12529.358670555303</v>
      </c>
      <c r="C46" s="453">
        <f>(B46-B45)/B45</f>
        <v>3.2751668763981591E-2</v>
      </c>
      <c r="D46" s="458">
        <f>[7]Datos!AB44</f>
        <v>630.09143525285003</v>
      </c>
      <c r="E46" s="459">
        <f t="shared" si="1"/>
        <v>-5.9794957969988701E-3</v>
      </c>
      <c r="F46" s="460">
        <f t="shared" si="0"/>
        <v>5.0289200893705782E-2</v>
      </c>
    </row>
    <row r="47" spans="1:15">
      <c r="A47" s="461">
        <f t="shared" si="2"/>
        <v>2010</v>
      </c>
      <c r="B47" s="34">
        <f>[7]Datos!CX45</f>
        <v>13523.004739279306</v>
      </c>
      <c r="C47" s="453">
        <f>(B47-B46)/B46</f>
        <v>7.9305421358806444E-2</v>
      </c>
      <c r="D47" s="29">
        <f>[7]Datos!AB45</f>
        <v>637.02087109032436</v>
      </c>
      <c r="E47" s="35">
        <f t="shared" si="1"/>
        <v>1.0997508377008186E-2</v>
      </c>
      <c r="F47" s="32">
        <f t="shared" si="0"/>
        <v>4.7106459205772173E-2</v>
      </c>
    </row>
    <row r="48" spans="1:15">
      <c r="A48" s="461">
        <f t="shared" si="2"/>
        <v>2011</v>
      </c>
      <c r="B48" s="34">
        <f>[7]Datos!CX46</f>
        <v>15092.879271304215</v>
      </c>
      <c r="C48" s="453">
        <f>(B48-B47)/B47</f>
        <v>0.11608918005219702</v>
      </c>
      <c r="D48" s="29">
        <f>[7]Datos!AB46</f>
        <v>657.59263373282647</v>
      </c>
      <c r="E48" s="35">
        <f t="shared" si="1"/>
        <v>3.2293702727967923E-2</v>
      </c>
      <c r="F48" s="32">
        <f t="shared" si="0"/>
        <v>4.3569727280804132E-2</v>
      </c>
    </row>
    <row r="49" spans="1:6">
      <c r="A49" s="462">
        <f t="shared" si="2"/>
        <v>2012</v>
      </c>
      <c r="B49" s="463">
        <f>[7]Datos!CX47</f>
        <v>16502.240181051773</v>
      </c>
      <c r="C49" s="464">
        <f>(B49-B48)/B48</f>
        <v>9.3379194546871352E-2</v>
      </c>
      <c r="D49" s="465">
        <f>[7]Datos!AB47</f>
        <v>679.74957772108917</v>
      </c>
      <c r="E49" s="466">
        <f t="shared" si="1"/>
        <v>3.3694027049069486E-2</v>
      </c>
      <c r="F49" s="464">
        <f t="shared" si="0"/>
        <v>4.1191351614285207E-2</v>
      </c>
    </row>
    <row r="50" spans="1:6">
      <c r="A50" s="461">
        <f t="shared" si="2"/>
        <v>2013</v>
      </c>
      <c r="B50" s="34">
        <f>B49*(1+'[7]Pronosticos PIB 2013-2027 '!O22)</f>
        <v>18276.926852797267</v>
      </c>
      <c r="C50" s="32">
        <f t="shared" si="3"/>
        <v>0.10754216714063025</v>
      </c>
      <c r="D50" s="29">
        <f>D49*(1+'[7]Pronosticos MANU 2013-27 1996'!H24)</f>
        <v>701.70120851347576</v>
      </c>
      <c r="E50" s="35">
        <f t="shared" si="1"/>
        <v>3.2293702727967943E-2</v>
      </c>
      <c r="F50" s="32">
        <f t="shared" si="0"/>
        <v>3.8392734958398164E-2</v>
      </c>
    </row>
    <row r="51" spans="1:6">
      <c r="A51" s="449">
        <f t="shared" si="2"/>
        <v>2014</v>
      </c>
      <c r="B51" s="20">
        <f>B50*(1+'[7]Pronosticos PIB 2013-2027 '!O23)</f>
        <v>19647.69636675706</v>
      </c>
      <c r="C51" s="22">
        <f t="shared" si="3"/>
        <v>7.4999999999999872E-2</v>
      </c>
      <c r="D51" s="30">
        <f>D50*(1+'[7]Pronosticos MANU 2013-27 1996'!H25)</f>
        <v>735.10282734979876</v>
      </c>
      <c r="E51" s="36">
        <f t="shared" si="1"/>
        <v>4.7600913937547444E-2</v>
      </c>
      <c r="F51" s="22">
        <f t="shared" si="0"/>
        <v>3.7414199284632507E-2</v>
      </c>
    </row>
    <row r="52" spans="1:6">
      <c r="A52" s="461">
        <f t="shared" si="2"/>
        <v>2015</v>
      </c>
      <c r="B52" s="34">
        <f>B51*(1+'[7]Pronosticos PIB 2013-2027 '!O24)</f>
        <v>21121.273594263839</v>
      </c>
      <c r="C52" s="32">
        <f t="shared" si="3"/>
        <v>7.4999999999999997E-2</v>
      </c>
      <c r="D52" s="29">
        <f>D51*(1+'[7]Pronosticos MANU 2013-27 1996'!H26)</f>
        <v>804.84540748004133</v>
      </c>
      <c r="E52" s="35">
        <f t="shared" si="1"/>
        <v>9.4874591057797081E-2</v>
      </c>
      <c r="F52" s="32">
        <f t="shared" si="0"/>
        <v>3.8105912689783202E-2</v>
      </c>
    </row>
    <row r="53" spans="1:6">
      <c r="A53" s="449">
        <f t="shared" si="2"/>
        <v>2016</v>
      </c>
      <c r="B53" s="20">
        <f>B52*(1+'[7]Pronosticos PIB 2013-2027 '!O25)</f>
        <v>22705.369113833625</v>
      </c>
      <c r="C53" s="22">
        <f t="shared" si="3"/>
        <v>7.4999999999999914E-2</v>
      </c>
      <c r="D53" s="30">
        <f>D52*(1+'[7]Pronosticos MANU 2013-27 1996'!H27)</f>
        <v>843.59128533017611</v>
      </c>
      <c r="E53" s="36">
        <f t="shared" si="1"/>
        <v>4.8140770252324015E-2</v>
      </c>
      <c r="F53" s="22">
        <f t="shared" si="0"/>
        <v>3.7153823886360168E-2</v>
      </c>
    </row>
    <row r="54" spans="1:6">
      <c r="A54" s="449">
        <f t="shared" si="2"/>
        <v>2017</v>
      </c>
      <c r="B54" s="20">
        <f>B53*(1+'[7]Pronosticos PIB 2013-2027 '!O26)</f>
        <v>24181.218106232809</v>
      </c>
      <c r="C54" s="22">
        <f t="shared" si="3"/>
        <v>6.4999999999999919E-2</v>
      </c>
      <c r="D54" s="30">
        <f>D53*(1+'[7]Pronosticos MANU 2013-27 1996'!H28)</f>
        <v>882.33716318031099</v>
      </c>
      <c r="E54" s="36">
        <f t="shared" si="1"/>
        <v>4.5929680076021655E-2</v>
      </c>
      <c r="F54" s="22">
        <f t="shared" si="0"/>
        <v>3.648853251742868E-2</v>
      </c>
    </row>
    <row r="55" spans="1:6">
      <c r="A55" s="449">
        <f t="shared" si="2"/>
        <v>2018</v>
      </c>
      <c r="B55" s="20">
        <f>B54*(1+'[7]Pronosticos PIB 2013-2027 '!O27)</f>
        <v>25752.997283137942</v>
      </c>
      <c r="C55" s="22">
        <f t="shared" si="3"/>
        <v>6.5000000000000002E-2</v>
      </c>
      <c r="D55" s="30">
        <f>D54*(1+'[7]Pronosticos MANU 2013-27 1996'!H29)</f>
        <v>926.9617259456387</v>
      </c>
      <c r="E55" s="36">
        <f t="shared" si="1"/>
        <v>5.0575408843125433E-2</v>
      </c>
      <c r="F55" s="22">
        <f t="shared" si="0"/>
        <v>3.5994323913223769E-2</v>
      </c>
    </row>
    <row r="56" spans="1:6">
      <c r="A56" s="449">
        <f t="shared" si="2"/>
        <v>2019</v>
      </c>
      <c r="B56" s="20">
        <f>B55*(1+'[7]Pronosticos PIB 2013-2027 '!O28)</f>
        <v>27426.942106541908</v>
      </c>
      <c r="C56" s="22">
        <f t="shared" si="3"/>
        <v>6.5000000000000002E-2</v>
      </c>
      <c r="D56" s="30">
        <f>D55*(1+'[7]Pronosticos MANU 2013-27 1996'!H30)</f>
        <v>971.58628871096641</v>
      </c>
      <c r="E56" s="36">
        <f t="shared" si="1"/>
        <v>4.8140674545978715E-2</v>
      </c>
      <c r="F56" s="22">
        <f t="shared" si="0"/>
        <v>3.5424521076274938E-2</v>
      </c>
    </row>
    <row r="57" spans="1:6">
      <c r="A57" s="449">
        <f t="shared" si="2"/>
        <v>2020</v>
      </c>
      <c r="B57" s="20">
        <f>B56*(1+'[7]Pronosticos PIB 2013-2027 '!O29)</f>
        <v>29209.69334346713</v>
      </c>
      <c r="C57" s="22">
        <f t="shared" si="3"/>
        <v>6.4999999999999919E-2</v>
      </c>
      <c r="D57" s="30">
        <f>D56*(1+'[7]Pronosticos MANU 2013-27 1996'!H31)</f>
        <v>1019.9518327859621</v>
      </c>
      <c r="E57" s="36">
        <f t="shared" si="1"/>
        <v>4.9779977997799603E-2</v>
      </c>
      <c r="F57" s="22">
        <f t="shared" si="0"/>
        <v>3.4918265686417371E-2</v>
      </c>
    </row>
    <row r="58" spans="1:6">
      <c r="A58" s="450">
        <f t="shared" si="2"/>
        <v>2021</v>
      </c>
      <c r="B58" s="24">
        <f>B57*(1+'[7]Pronosticos PIB 2013-2027 '!O30)</f>
        <v>31108.323410792491</v>
      </c>
      <c r="C58" s="25">
        <f t="shared" si="3"/>
        <v>6.4999999999999905E-2</v>
      </c>
      <c r="D58" s="31">
        <f>D57*(1+'[7]Pronosticos MANU 2013-27 1996'!H32)</f>
        <v>1066.7140991568144</v>
      </c>
      <c r="E58" s="40">
        <f t="shared" si="1"/>
        <v>4.5847524233691372E-2</v>
      </c>
      <c r="F58" s="25">
        <f t="shared" si="0"/>
        <v>3.429031147293321E-2</v>
      </c>
    </row>
    <row r="59" spans="1:6">
      <c r="A59" s="450">
        <f t="shared" si="2"/>
        <v>2022</v>
      </c>
      <c r="B59" s="111">
        <f>B58*(1+'[7]Pronosticos PIB 2013-2027 '!O31)</f>
        <v>32974.822815440042</v>
      </c>
      <c r="C59" s="25">
        <f t="shared" si="3"/>
        <v>6.000000000000006E-2</v>
      </c>
      <c r="D59" s="112">
        <f>D58*(1+'[7]Pronosticos MANU 2013-27 1996'!H33)</f>
        <v>1118.5534115907881</v>
      </c>
      <c r="E59" s="40">
        <f t="shared" si="1"/>
        <v>4.8597194388777742E-2</v>
      </c>
      <c r="F59" s="25">
        <f t="shared" si="0"/>
        <v>3.3921438118146297E-2</v>
      </c>
    </row>
    <row r="60" spans="1:6">
      <c r="A60" s="449">
        <f t="shared" si="2"/>
        <v>2023</v>
      </c>
      <c r="B60" s="117">
        <f>B59*(1+'[7]Pronosticos PIB 2013-2027 '!O32)</f>
        <v>34953.312184366448</v>
      </c>
      <c r="C60" s="22">
        <f t="shared" si="3"/>
        <v>6.0000000000000116E-2</v>
      </c>
      <c r="D60" s="118">
        <f>D59*(1+'[7]Pronosticos MANU 2013-27 1996'!H34)</f>
        <v>1171.1943628768333</v>
      </c>
      <c r="E60" s="36">
        <f t="shared" si="1"/>
        <v>4.7061634018155808E-2</v>
      </c>
      <c r="F60" s="22">
        <f t="shared" si="0"/>
        <v>3.3507392853049073E-2</v>
      </c>
    </row>
    <row r="61" spans="1:6">
      <c r="A61" s="449">
        <f t="shared" si="2"/>
        <v>2024</v>
      </c>
      <c r="B61" s="117">
        <f>B60*(1+'[7]Pronosticos PIB 2013-2027 '!O33)</f>
        <v>37050.510915428436</v>
      </c>
      <c r="C61" s="22">
        <f>(B61-B60)/B60</f>
        <v>6.0000000000000032E-2</v>
      </c>
      <c r="D61" s="30">
        <f>D60*(1+'[7]Pronosticos MANU 2013-27 1996'!H35)</f>
        <v>1236.1271098946454</v>
      </c>
      <c r="E61" s="36">
        <f t="shared" si="1"/>
        <v>5.5441478439425006E-2</v>
      </c>
      <c r="F61" s="22">
        <f t="shared" si="0"/>
        <v>3.3363294576861068E-2</v>
      </c>
    </row>
    <row r="62" spans="1:6">
      <c r="A62" s="449">
        <f t="shared" si="2"/>
        <v>2025</v>
      </c>
      <c r="B62" s="117">
        <f>B61*(1+'[7]Pronosticos PIB 2013-2027 '!O34)</f>
        <v>39273.541570354144</v>
      </c>
      <c r="C62" s="22">
        <f t="shared" si="3"/>
        <v>6.0000000000000032E-2</v>
      </c>
      <c r="D62" s="30">
        <f>D61*(1+'[7]Pronosticos MANU 2013-27 1996'!H36)</f>
        <v>1289.8369129834527</v>
      </c>
      <c r="E62" s="36">
        <f t="shared" si="1"/>
        <v>4.34500648508429E-2</v>
      </c>
      <c r="F62" s="22">
        <f t="shared" si="0"/>
        <v>3.2842388575342885E-2</v>
      </c>
    </row>
    <row r="63" spans="1:6">
      <c r="A63" s="449">
        <f t="shared" si="2"/>
        <v>2026</v>
      </c>
      <c r="B63" s="117">
        <f>B62*(1+'[7]Pronosticos PIB 2013-2027 '!O35)</f>
        <v>41629.954064575395</v>
      </c>
      <c r="C63" s="22">
        <f t="shared" si="3"/>
        <v>6.000000000000006E-2</v>
      </c>
      <c r="D63" s="30">
        <f>D62*(1+'[7]Pronosticos MANU 2013-27 1996'!H37)</f>
        <v>1351.841670196965</v>
      </c>
      <c r="E63" s="36">
        <f t="shared" si="1"/>
        <v>4.8071780695198386E-2</v>
      </c>
      <c r="F63" s="22">
        <f t="shared" si="0"/>
        <v>3.2472811958908727E-2</v>
      </c>
    </row>
    <row r="64" spans="1:6">
      <c r="A64" s="449">
        <f t="shared" si="2"/>
        <v>2027</v>
      </c>
      <c r="B64" s="117">
        <f>B63*(1+'[7]Pronosticos PIB 2013-2027 '!O36)</f>
        <v>44127.751308449922</v>
      </c>
      <c r="C64" s="22">
        <f t="shared" si="3"/>
        <v>6.0000000000000088E-2</v>
      </c>
      <c r="D64" s="30">
        <f>D63*(1+'[7]Pronosticos MANU 2013-27 1996'!H38)</f>
        <v>1416.8271065013043</v>
      </c>
      <c r="E64" s="36">
        <f>(D64-D63)/D63</f>
        <v>4.8071780695198511E-2</v>
      </c>
      <c r="F64" s="22">
        <f>+D64/B64</f>
        <v>3.2107394201843213E-2</v>
      </c>
    </row>
    <row r="65" spans="1:6" ht="13.5" thickBot="1">
      <c r="A65" s="468"/>
      <c r="B65" s="115"/>
      <c r="C65" s="113"/>
      <c r="D65" s="110"/>
      <c r="E65" s="114"/>
      <c r="F65" s="113"/>
    </row>
    <row r="66" spans="1:6" ht="13.5" thickBot="1">
      <c r="A66" s="1338" t="s">
        <v>1</v>
      </c>
      <c r="B66" s="1339"/>
      <c r="C66" s="469">
        <f>AVERAGE(C50:C64)</f>
        <v>6.7836144476042026E-2</v>
      </c>
      <c r="D66" s="90"/>
      <c r="E66" s="470">
        <f>AVERAGE(E50:E64)</f>
        <v>5.0258478450656771E-2</v>
      </c>
      <c r="F66" s="469">
        <f>AVERAGE(F49:F64)</f>
        <v>3.5474293586493025E-2</v>
      </c>
    </row>
    <row r="67" spans="1:6" ht="24" customHeight="1">
      <c r="A67" s="268" t="s">
        <v>31</v>
      </c>
      <c r="B67" s="247"/>
      <c r="C67" s="438">
        <f>RATE(A45-A41,,-B41,B45)</f>
        <v>9.7109865686075436E-2</v>
      </c>
      <c r="D67" s="38"/>
      <c r="E67" s="438">
        <f>RATE(A45-A40,,-D40,D45)</f>
        <v>3.9351880496241429E-2</v>
      </c>
      <c r="F67" s="37"/>
    </row>
    <row r="68" spans="1:6" ht="54.75" customHeight="1">
      <c r="A68" s="1340" t="s">
        <v>160</v>
      </c>
      <c r="B68" s="1340"/>
      <c r="C68" s="1340"/>
      <c r="D68" s="1340"/>
      <c r="E68" s="1340"/>
      <c r="F68" s="997"/>
    </row>
    <row r="69" spans="1:6" ht="55.15" customHeight="1">
      <c r="A69" s="1340" t="s">
        <v>161</v>
      </c>
      <c r="B69" s="1340"/>
      <c r="C69" s="1340"/>
      <c r="D69" s="1340"/>
      <c r="E69" s="1340"/>
      <c r="F69" s="997"/>
    </row>
    <row r="70" spans="1:6" ht="13.15" customHeight="1">
      <c r="A70" s="997"/>
      <c r="B70" s="997"/>
      <c r="C70" s="997"/>
      <c r="D70" s="997"/>
      <c r="E70" s="997"/>
      <c r="F70" s="997"/>
    </row>
    <row r="71" spans="1:6" ht="13.15" customHeight="1">
      <c r="A71" s="997"/>
      <c r="B71" s="997"/>
      <c r="C71" s="997"/>
      <c r="D71" s="997"/>
      <c r="E71" s="997"/>
      <c r="F71" s="997"/>
    </row>
    <row r="72" spans="1:6">
      <c r="A72" s="997"/>
      <c r="B72" s="997"/>
      <c r="C72" s="997"/>
      <c r="D72" s="997"/>
      <c r="F72" s="997"/>
    </row>
    <row r="73" spans="1:6">
      <c r="A73" s="997"/>
      <c r="B73" s="997"/>
      <c r="C73" s="238" t="s">
        <v>36</v>
      </c>
      <c r="D73" s="1341" t="s">
        <v>39</v>
      </c>
      <c r="E73" s="238" t="s">
        <v>30</v>
      </c>
      <c r="F73" s="997"/>
    </row>
    <row r="74" spans="1:6">
      <c r="A74" s="268" t="s">
        <v>40</v>
      </c>
      <c r="C74" s="997" t="s">
        <v>41</v>
      </c>
      <c r="D74" s="1342"/>
      <c r="E74" s="997" t="s">
        <v>42</v>
      </c>
      <c r="F74" s="238" t="s">
        <v>43</v>
      </c>
    </row>
    <row r="75" spans="1:6">
      <c r="A75" s="238" t="s">
        <v>28</v>
      </c>
      <c r="C75" s="263">
        <f>AVERAGE(C17:C27)</f>
        <v>3.2448504887785744E-2</v>
      </c>
      <c r="D75" s="263">
        <f>+E75-C75</f>
        <v>-1.8258290883936532E-2</v>
      </c>
      <c r="E75" s="263">
        <f>AVERAGE(E17:E27)</f>
        <v>1.4190214003849212E-2</v>
      </c>
      <c r="F75" s="263">
        <f>AVERAGE(F17:F27)</f>
        <v>9.5776636202518764E-2</v>
      </c>
    </row>
    <row r="76" spans="1:6">
      <c r="A76" s="238" t="s">
        <v>44</v>
      </c>
      <c r="C76" s="263">
        <f>AVERAGE(C28:C37)</f>
        <v>4.5029592802015107E-2</v>
      </c>
      <c r="D76" s="263">
        <f>+E76-C76</f>
        <v>-1.8311491823968729E-2</v>
      </c>
      <c r="E76" s="263">
        <f>AVERAGE(E28:E37)</f>
        <v>2.6718100978046378E-2</v>
      </c>
      <c r="F76" s="263">
        <f>AVERAGE(F28:F37)</f>
        <v>9.4773349724320444E-2</v>
      </c>
    </row>
    <row r="77" spans="1:6">
      <c r="A77" s="239" t="s">
        <v>658</v>
      </c>
      <c r="C77" s="263">
        <f>AVERAGE(C38:C49)</f>
        <v>7.0386036623900181E-2</v>
      </c>
      <c r="D77" s="263">
        <f>+E77-C77</f>
        <v>-5.9738745419826385E-2</v>
      </c>
      <c r="E77" s="263">
        <f>AVERAGE(E38:E48)</f>
        <v>1.0647291204073794E-2</v>
      </c>
      <c r="F77" s="263">
        <f>AVERAGE(F38:F49)</f>
        <v>5.7154803518501884E-2</v>
      </c>
    </row>
    <row r="78" spans="1:6">
      <c r="A78" s="268" t="s">
        <v>45</v>
      </c>
      <c r="B78" s="268"/>
      <c r="C78" s="471">
        <f>MAX(C8:C44)</f>
        <v>0.19937617774075858</v>
      </c>
      <c r="D78" s="263">
        <f>AVERAGE(D75:D77)</f>
        <v>-3.2102842709243878E-2</v>
      </c>
      <c r="E78" s="471">
        <f>MAX(E8:E44)</f>
        <v>0.13783716901756987</v>
      </c>
      <c r="F78" s="471">
        <f>MAX(F8:F44)</f>
        <v>0.12772069855769996</v>
      </c>
    </row>
    <row r="79" spans="1:6">
      <c r="A79" s="268" t="s">
        <v>7</v>
      </c>
      <c r="B79" s="268"/>
      <c r="C79" s="471"/>
      <c r="E79" s="471"/>
      <c r="F79" s="471"/>
    </row>
    <row r="80" spans="1:6">
      <c r="A80" s="988">
        <v>2012</v>
      </c>
      <c r="B80" s="268"/>
      <c r="C80" s="472">
        <f>+C49</f>
        <v>9.3379194546871352E-2</v>
      </c>
      <c r="D80" s="91"/>
      <c r="E80" s="472">
        <f>+E49</f>
        <v>3.3694027049069486E-2</v>
      </c>
      <c r="F80" s="472">
        <f>+F48</f>
        <v>4.3569727280804132E-2</v>
      </c>
    </row>
    <row r="81" spans="1:6">
      <c r="A81" s="239" t="s">
        <v>403</v>
      </c>
      <c r="C81" s="263">
        <f>AVERAGE(C48:C49)</f>
        <v>0.10473418729953418</v>
      </c>
      <c r="D81" s="263">
        <f>+E81-C81</f>
        <v>-7.1740322411015481E-2</v>
      </c>
      <c r="E81" s="263">
        <f>AVERAGE(E48:E49)</f>
        <v>3.2993864888518701E-2</v>
      </c>
      <c r="F81" s="263">
        <f>AVERAGE(F48:F49)</f>
        <v>4.238053944754467E-2</v>
      </c>
    </row>
    <row r="82" spans="1:6">
      <c r="A82" s="239" t="s">
        <v>638</v>
      </c>
      <c r="C82" s="263">
        <f>AVERAGE(C50:C53)</f>
        <v>8.3135541785157502E-2</v>
      </c>
      <c r="D82" s="263">
        <f>+E82-C82</f>
        <v>-2.7408047291248377E-2</v>
      </c>
      <c r="E82" s="263">
        <f>AVERAGE(E50:E53)</f>
        <v>5.5727494493909124E-2</v>
      </c>
      <c r="F82" s="263">
        <f>AVERAGE(F50:F53)</f>
        <v>3.7766667704793505E-2</v>
      </c>
    </row>
    <row r="83" spans="1:6">
      <c r="A83" s="239" t="s">
        <v>641</v>
      </c>
      <c r="C83" s="263">
        <f>AVERAGE(C54:C64)</f>
        <v>6.2272727272727278E-2</v>
      </c>
      <c r="D83" s="263">
        <f>+E83-C83</f>
        <v>-1.400298192870772E-2</v>
      </c>
      <c r="E83" s="263">
        <f>AVERAGE(E54:E64)</f>
        <v>4.8269745344019559E-2</v>
      </c>
      <c r="F83" s="263">
        <f>AVERAGE(F54:F64)</f>
        <v>3.412097045003902E-2</v>
      </c>
    </row>
    <row r="86" spans="1:6">
      <c r="A86" s="239" t="s">
        <v>659</v>
      </c>
      <c r="C86" s="263">
        <f>AVERAGE(C42:C49)</f>
        <v>8.8818635379646516E-2</v>
      </c>
    </row>
    <row r="87" spans="1:6">
      <c r="A87" s="239" t="s">
        <v>660</v>
      </c>
      <c r="C87" s="263">
        <f>AVERAGE(C45:C49)</f>
        <v>8.4830966645351683E-2</v>
      </c>
    </row>
    <row r="88" spans="1:6">
      <c r="A88" s="239" t="s">
        <v>541</v>
      </c>
      <c r="C88" s="263">
        <f>AVERAGE(C8:C49)</f>
        <v>4.879430957284113E-2</v>
      </c>
    </row>
  </sheetData>
  <mergeCells count="5">
    <mergeCell ref="A2:F2"/>
    <mergeCell ref="A66:B66"/>
    <mergeCell ref="A68:E68"/>
    <mergeCell ref="A69:E69"/>
    <mergeCell ref="D73:D74"/>
  </mergeCells>
  <printOptions horizontalCentered="1" verticalCentered="1"/>
  <pageMargins left="0.35433070866141736" right="0.35433070866141736" top="0.69" bottom="0.89" header="0" footer="0.42"/>
  <pageSetup scale="70" orientation="portrait" r:id="rId1"/>
  <headerFooter alignWithMargins="0">
    <oddFooter>&amp;LARCHIVO:  &amp;F
HOJA:  &amp;A&amp;R&amp;D</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O83"/>
  <sheetViews>
    <sheetView topLeftCell="A65" workbookViewId="0">
      <selection activeCell="F83" sqref="F83"/>
    </sheetView>
  </sheetViews>
  <sheetFormatPr baseColWidth="10" defaultRowHeight="12.75"/>
  <cols>
    <col min="1" max="1" width="10.140625" style="238" customWidth="1"/>
    <col min="2" max="2" width="7.7109375" style="238" bestFit="1" customWidth="1"/>
    <col min="3" max="3" width="9.140625" style="238" customWidth="1"/>
    <col min="4" max="4" width="10.140625" style="12" bestFit="1" customWidth="1"/>
    <col min="5" max="6" width="7.5703125" style="238" customWidth="1"/>
    <col min="7" max="12" width="11.42578125" style="238"/>
    <col min="13" max="13" width="7.5703125" style="238" customWidth="1"/>
    <col min="14" max="16384" width="11.42578125" style="238"/>
  </cols>
  <sheetData>
    <row r="1" spans="1:13">
      <c r="A1" s="268" t="s">
        <v>501</v>
      </c>
    </row>
    <row r="2" spans="1:13" ht="18">
      <c r="A2" s="1236" t="s">
        <v>157</v>
      </c>
      <c r="B2" s="1236"/>
      <c r="C2" s="1236"/>
      <c r="D2" s="1236"/>
      <c r="E2" s="1236"/>
      <c r="F2" s="1236"/>
      <c r="G2" s="996"/>
      <c r="H2" s="996"/>
      <c r="I2" s="996"/>
      <c r="J2" s="996"/>
      <c r="K2" s="996"/>
      <c r="L2" s="996"/>
      <c r="M2" s="996"/>
    </row>
    <row r="3" spans="1:13">
      <c r="A3" s="268" t="s">
        <v>401</v>
      </c>
      <c r="D3" s="988" t="s">
        <v>375</v>
      </c>
    </row>
    <row r="4" spans="1:13" ht="13.5" thickBot="1">
      <c r="A4" s="238" t="s">
        <v>29</v>
      </c>
    </row>
    <row r="5" spans="1:13">
      <c r="A5" s="445" t="s">
        <v>8</v>
      </c>
      <c r="B5" s="446" t="s">
        <v>0</v>
      </c>
      <c r="C5" s="447" t="s">
        <v>37</v>
      </c>
      <c r="D5" s="28" t="s">
        <v>30</v>
      </c>
      <c r="E5" s="446" t="s">
        <v>37</v>
      </c>
      <c r="F5" s="447" t="s">
        <v>38</v>
      </c>
    </row>
    <row r="6" spans="1:13" hidden="1">
      <c r="A6" s="1141"/>
      <c r="B6" s="1142" t="s">
        <v>656</v>
      </c>
      <c r="C6" s="1143"/>
      <c r="D6" s="1144" t="s">
        <v>657</v>
      </c>
      <c r="E6" s="1142"/>
      <c r="F6" s="1143"/>
    </row>
    <row r="7" spans="1:13">
      <c r="A7" s="461">
        <v>1970</v>
      </c>
      <c r="B7" s="34">
        <f>[7]Datos!CX5</f>
        <v>2351.4156921131657</v>
      </c>
      <c r="C7" s="1145"/>
      <c r="D7" s="29">
        <f>[7]Datos!AB5</f>
        <v>305.02217877094967</v>
      </c>
      <c r="E7" s="448"/>
      <c r="F7" s="32">
        <f t="shared" ref="F7:F64" si="0">+D7/B7</f>
        <v>0.12971852650044743</v>
      </c>
    </row>
    <row r="8" spans="1:13">
      <c r="A8" s="449">
        <f>A7+1</f>
        <v>1971</v>
      </c>
      <c r="B8" s="20">
        <f>[7]Datos!CX6</f>
        <v>2577.6500691901069</v>
      </c>
      <c r="C8" s="22">
        <f>(B8-B7)/B7</f>
        <v>9.6211987457491752E-2</v>
      </c>
      <c r="D8" s="30">
        <f>[7]Datos!AB6</f>
        <v>324.43050279329606</v>
      </c>
      <c r="E8" s="21">
        <f t="shared" ref="E8:E62" si="1">(D8-D7)/D7</f>
        <v>6.3629222309505198E-2</v>
      </c>
      <c r="F8" s="22">
        <f t="shared" si="0"/>
        <v>0.12586289608163592</v>
      </c>
    </row>
    <row r="9" spans="1:13">
      <c r="A9" s="449">
        <f t="shared" ref="A9:A64" si="2">A8+1</f>
        <v>1972</v>
      </c>
      <c r="B9" s="20">
        <f>[7]Datos!CX7</f>
        <v>2689.0848543566476</v>
      </c>
      <c r="C9" s="22">
        <f t="shared" ref="C9:C64" si="3">(B9-B8)/B8</f>
        <v>4.3231153250197878E-2</v>
      </c>
      <c r="D9" s="30">
        <f>[7]Datos!AB7</f>
        <v>339.28625698324015</v>
      </c>
      <c r="E9" s="21">
        <f t="shared" si="1"/>
        <v>4.5790251107828535E-2</v>
      </c>
      <c r="F9" s="22">
        <f t="shared" si="0"/>
        <v>0.12617164401991807</v>
      </c>
    </row>
    <row r="10" spans="1:13">
      <c r="A10" s="449">
        <f t="shared" si="2"/>
        <v>1973</v>
      </c>
      <c r="B10" s="20">
        <f>[7]Datos!CX8</f>
        <v>2823.437834166356</v>
      </c>
      <c r="C10" s="22">
        <f t="shared" si="3"/>
        <v>4.9962342985212994E-2</v>
      </c>
      <c r="D10" s="30">
        <f>[7]Datos!AB8</f>
        <v>360.61145251396641</v>
      </c>
      <c r="E10" s="21">
        <f t="shared" si="1"/>
        <v>6.28531073446328E-2</v>
      </c>
      <c r="F10" s="22">
        <f t="shared" si="0"/>
        <v>0.12772069855769996</v>
      </c>
    </row>
    <row r="11" spans="1:13">
      <c r="A11" s="449">
        <f t="shared" si="2"/>
        <v>1974</v>
      </c>
      <c r="B11" s="20">
        <f>[7]Datos!CX9</f>
        <v>2903.6383679935257</v>
      </c>
      <c r="C11" s="22">
        <f t="shared" si="3"/>
        <v>2.8405277019619448E-2</v>
      </c>
      <c r="D11" s="30">
        <f>[7]Datos!AB9</f>
        <v>365.40363128491617</v>
      </c>
      <c r="E11" s="21">
        <f t="shared" si="1"/>
        <v>1.3289036544850611E-2</v>
      </c>
      <c r="F11" s="22">
        <f t="shared" si="0"/>
        <v>0.12584336786313291</v>
      </c>
    </row>
    <row r="12" spans="1:13">
      <c r="A12" s="449">
        <f t="shared" si="2"/>
        <v>1975</v>
      </c>
      <c r="B12" s="20">
        <f>[7]Datos!CX10</f>
        <v>2910.1245026717997</v>
      </c>
      <c r="C12" s="22">
        <f t="shared" si="3"/>
        <v>2.2337956233703226E-3</v>
      </c>
      <c r="D12" s="30">
        <f>[7]Datos!AB10</f>
        <v>352.22513966480443</v>
      </c>
      <c r="E12" s="21">
        <f t="shared" si="1"/>
        <v>-3.6065573770491834E-2</v>
      </c>
      <c r="F12" s="22">
        <f t="shared" si="0"/>
        <v>0.12103438850861012</v>
      </c>
    </row>
    <row r="13" spans="1:13">
      <c r="A13" s="449">
        <f t="shared" si="2"/>
        <v>1976</v>
      </c>
      <c r="B13" s="20">
        <f>[7]Datos!CX11</f>
        <v>2949.1723957981726</v>
      </c>
      <c r="C13" s="22">
        <f t="shared" si="3"/>
        <v>1.3417945895621576E-2</v>
      </c>
      <c r="D13" s="30">
        <f>[7]Datos!AB11</f>
        <v>361.09067039106139</v>
      </c>
      <c r="E13" s="21">
        <f t="shared" si="1"/>
        <v>2.5170068027210831E-2</v>
      </c>
      <c r="F13" s="22">
        <f t="shared" si="0"/>
        <v>0.12243796629370483</v>
      </c>
    </row>
    <row r="14" spans="1:13">
      <c r="A14" s="449">
        <f t="shared" si="2"/>
        <v>1977</v>
      </c>
      <c r="B14" s="20">
        <f>[7]Datos!CX12</f>
        <v>2985.6550172110965</v>
      </c>
      <c r="C14" s="22">
        <f t="shared" si="3"/>
        <v>1.2370460765502359E-2</v>
      </c>
      <c r="D14" s="30">
        <f>[7]Datos!AB12</f>
        <v>365.40363128491612</v>
      </c>
      <c r="E14" s="21">
        <f t="shared" si="1"/>
        <v>1.194426011944253E-2</v>
      </c>
      <c r="F14" s="22">
        <f t="shared" si="0"/>
        <v>0.12238642079493833</v>
      </c>
    </row>
    <row r="15" spans="1:13">
      <c r="A15" s="449">
        <f t="shared" si="2"/>
        <v>1978</v>
      </c>
      <c r="B15" s="20">
        <f>[7]Datos!CX13</f>
        <v>3300.2084216849612</v>
      </c>
      <c r="C15" s="22">
        <f t="shared" si="3"/>
        <v>0.10535490626364775</v>
      </c>
      <c r="D15" s="30">
        <f>[7]Datos!AB13</f>
        <v>371.15424581005578</v>
      </c>
      <c r="E15" s="21">
        <f t="shared" si="1"/>
        <v>1.5737704918032797E-2</v>
      </c>
      <c r="F15" s="22">
        <f t="shared" si="0"/>
        <v>0.11246388057532394</v>
      </c>
    </row>
    <row r="16" spans="1:13">
      <c r="A16" s="449">
        <f t="shared" si="2"/>
        <v>1979</v>
      </c>
      <c r="B16" s="20">
        <f>[7]Datos!CX14</f>
        <v>3453.0450719817218</v>
      </c>
      <c r="C16" s="22">
        <f t="shared" si="3"/>
        <v>4.6311211526067188E-2</v>
      </c>
      <c r="D16" s="30">
        <f>[7]Datos!AB14</f>
        <v>412.1273743016759</v>
      </c>
      <c r="E16" s="21">
        <f t="shared" si="1"/>
        <v>0.11039380245319565</v>
      </c>
      <c r="F16" s="22">
        <f t="shared" si="0"/>
        <v>0.11935186645714813</v>
      </c>
    </row>
    <row r="17" spans="1:6">
      <c r="A17" s="449">
        <f t="shared" si="2"/>
        <v>1980</v>
      </c>
      <c r="B17" s="20">
        <f>[7]Datos!CX15</f>
        <v>4141.5</v>
      </c>
      <c r="C17" s="22">
        <f t="shared" si="3"/>
        <v>0.19937617774075858</v>
      </c>
      <c r="D17" s="30">
        <f>[7]Datos!AB15</f>
        <v>428.9</v>
      </c>
      <c r="E17" s="21">
        <f t="shared" si="1"/>
        <v>4.0697674418604793E-2</v>
      </c>
      <c r="F17" s="22">
        <f t="shared" si="0"/>
        <v>0.10356151152963901</v>
      </c>
    </row>
    <row r="18" spans="1:6">
      <c r="A18" s="449">
        <f t="shared" si="2"/>
        <v>1981</v>
      </c>
      <c r="B18" s="20">
        <f>[7]Datos!CX16</f>
        <v>4522.8</v>
      </c>
      <c r="C18" s="22">
        <f t="shared" si="3"/>
        <v>9.206809127127856E-2</v>
      </c>
      <c r="D18" s="30">
        <f>[7]Datos!AB16</f>
        <v>418</v>
      </c>
      <c r="E18" s="21">
        <f t="shared" si="1"/>
        <v>-2.5413849382140308E-2</v>
      </c>
      <c r="F18" s="22">
        <f t="shared" si="0"/>
        <v>9.2420624391969575E-2</v>
      </c>
    </row>
    <row r="19" spans="1:6">
      <c r="A19" s="449">
        <f t="shared" si="2"/>
        <v>1982</v>
      </c>
      <c r="B19" s="20">
        <f>[7]Datos!CX17</f>
        <v>4764.7</v>
      </c>
      <c r="C19" s="22">
        <f t="shared" si="3"/>
        <v>5.3484567082338293E-2</v>
      </c>
      <c r="D19" s="30">
        <f>[7]Datos!AB17</f>
        <v>433</v>
      </c>
      <c r="E19" s="21">
        <f t="shared" si="1"/>
        <v>3.5885167464114832E-2</v>
      </c>
      <c r="F19" s="22">
        <f t="shared" si="0"/>
        <v>9.0876655403278273E-2</v>
      </c>
    </row>
    <row r="20" spans="1:6">
      <c r="A20" s="449">
        <f t="shared" si="2"/>
        <v>1983</v>
      </c>
      <c r="B20" s="20">
        <f>[7]Datos!CX18</f>
        <v>4550.7000000000007</v>
      </c>
      <c r="C20" s="22">
        <f t="shared" si="3"/>
        <v>-4.4913635695846346E-2</v>
      </c>
      <c r="D20" s="30">
        <f>[7]Datos!AB18</f>
        <v>423.7</v>
      </c>
      <c r="E20" s="21">
        <f t="shared" si="1"/>
        <v>-2.1478060046189403E-2</v>
      </c>
      <c r="F20" s="22">
        <f t="shared" si="0"/>
        <v>9.3106555035489022E-2</v>
      </c>
    </row>
    <row r="21" spans="1:6">
      <c r="A21" s="449">
        <f t="shared" si="2"/>
        <v>1984</v>
      </c>
      <c r="B21" s="20">
        <f>[7]Datos!CX19</f>
        <v>4674.0000000000009</v>
      </c>
      <c r="C21" s="22">
        <f t="shared" si="3"/>
        <v>2.709473267848906E-2</v>
      </c>
      <c r="D21" s="30">
        <f>[7]Datos!AB19</f>
        <v>452.7</v>
      </c>
      <c r="E21" s="21">
        <f t="shared" si="1"/>
        <v>6.8444654236488087E-2</v>
      </c>
      <c r="F21" s="22">
        <f t="shared" si="0"/>
        <v>9.6854942233632835E-2</v>
      </c>
    </row>
    <row r="22" spans="1:6">
      <c r="A22" s="449">
        <f t="shared" si="2"/>
        <v>1985</v>
      </c>
      <c r="B22" s="20">
        <f>[7]Datos!CX20</f>
        <v>4905.0000000000009</v>
      </c>
      <c r="C22" s="22">
        <f t="shared" si="3"/>
        <v>4.9422336328626436E-2</v>
      </c>
      <c r="D22" s="30">
        <f>[7]Datos!AB20</f>
        <v>478.1</v>
      </c>
      <c r="E22" s="21">
        <f t="shared" si="1"/>
        <v>5.6107797658493559E-2</v>
      </c>
      <c r="F22" s="22">
        <f t="shared" si="0"/>
        <v>9.7471967380224248E-2</v>
      </c>
    </row>
    <row r="23" spans="1:6">
      <c r="A23" s="449">
        <f t="shared" si="2"/>
        <v>1986</v>
      </c>
      <c r="B23" s="20">
        <f>[7]Datos!CX21</f>
        <v>5080.0000000000009</v>
      </c>
      <c r="C23" s="22">
        <f t="shared" si="3"/>
        <v>3.5677879714576956E-2</v>
      </c>
      <c r="D23" s="30">
        <f>[7]Datos!AB21</f>
        <v>481.4</v>
      </c>
      <c r="E23" s="21">
        <f t="shared" si="1"/>
        <v>6.9023216900229124E-3</v>
      </c>
      <c r="F23" s="22">
        <f t="shared" si="0"/>
        <v>9.4763779527559031E-2</v>
      </c>
    </row>
    <row r="24" spans="1:6">
      <c r="A24" s="449">
        <f t="shared" si="2"/>
        <v>1987</v>
      </c>
      <c r="B24" s="20">
        <f>[7]Datos!CX22</f>
        <v>4988.1000000000004</v>
      </c>
      <c r="C24" s="22">
        <f t="shared" si="3"/>
        <v>-1.8090551181102466E-2</v>
      </c>
      <c r="D24" s="30">
        <f>[7]Datos!AB22</f>
        <v>514.5</v>
      </c>
      <c r="E24" s="21">
        <f t="shared" si="1"/>
        <v>6.8757789779808939E-2</v>
      </c>
      <c r="F24" s="22">
        <f t="shared" si="0"/>
        <v>0.10314548625729235</v>
      </c>
    </row>
    <row r="25" spans="1:6">
      <c r="A25" s="449">
        <f t="shared" si="2"/>
        <v>1988</v>
      </c>
      <c r="B25" s="20">
        <f>[7]Datos!CX23</f>
        <v>4320.7</v>
      </c>
      <c r="C25" s="22">
        <f t="shared" si="3"/>
        <v>-0.13379844028788526</v>
      </c>
      <c r="D25" s="30">
        <f>[7]Datos!AB23</f>
        <v>398.9</v>
      </c>
      <c r="E25" s="21">
        <f t="shared" si="1"/>
        <v>-0.22468415937803699</v>
      </c>
      <c r="F25" s="22">
        <f t="shared" si="0"/>
        <v>9.2323003217071306E-2</v>
      </c>
    </row>
    <row r="26" spans="1:6">
      <c r="A26" s="449">
        <f t="shared" si="2"/>
        <v>1989</v>
      </c>
      <c r="B26" s="20">
        <f>[7]Datos!CX24</f>
        <v>4388.2000000000007</v>
      </c>
      <c r="C26" s="22">
        <f t="shared" si="3"/>
        <v>1.5622468581480064E-2</v>
      </c>
      <c r="D26" s="30">
        <f>[7]Datos!AB24</f>
        <v>404.1</v>
      </c>
      <c r="E26" s="21">
        <f t="shared" si="1"/>
        <v>1.3035848583605028E-2</v>
      </c>
      <c r="F26" s="22">
        <f t="shared" si="0"/>
        <v>9.208787202041839E-2</v>
      </c>
    </row>
    <row r="27" spans="1:6">
      <c r="A27" s="449">
        <f t="shared" si="2"/>
        <v>1990</v>
      </c>
      <c r="B27" s="20">
        <f>[7]Datos!CX25</f>
        <v>4743.6000000000013</v>
      </c>
      <c r="C27" s="22">
        <f t="shared" si="3"/>
        <v>8.0989927532929329E-2</v>
      </c>
      <c r="D27" s="30">
        <f>[7]Datos!AB25</f>
        <v>459.8</v>
      </c>
      <c r="E27" s="21">
        <f t="shared" si="1"/>
        <v>0.13783716901756987</v>
      </c>
      <c r="F27" s="22">
        <f t="shared" si="0"/>
        <v>9.6930601231132452E-2</v>
      </c>
    </row>
    <row r="28" spans="1:6">
      <c r="A28" s="449">
        <f t="shared" si="2"/>
        <v>1991</v>
      </c>
      <c r="B28" s="20">
        <f>[7]Datos!CX26</f>
        <v>5190.4000000000005</v>
      </c>
      <c r="C28" s="22">
        <f t="shared" si="3"/>
        <v>9.4190066616072002E-2</v>
      </c>
      <c r="D28" s="30">
        <f>[7]Datos!AB26</f>
        <v>507.9</v>
      </c>
      <c r="E28" s="21">
        <f t="shared" si="1"/>
        <v>0.10461070030448014</v>
      </c>
      <c r="F28" s="22">
        <f t="shared" si="0"/>
        <v>9.7853729963008618E-2</v>
      </c>
    </row>
    <row r="29" spans="1:6">
      <c r="A29" s="449">
        <f t="shared" si="2"/>
        <v>1992</v>
      </c>
      <c r="B29" s="20">
        <f>[7]Datos!CX27</f>
        <v>5616.1</v>
      </c>
      <c r="C29" s="22">
        <f t="shared" si="3"/>
        <v>8.2016800246609081E-2</v>
      </c>
      <c r="D29" s="30">
        <f>[7]Datos!AB27</f>
        <v>554.4</v>
      </c>
      <c r="E29" s="21">
        <f t="shared" si="1"/>
        <v>9.1553455404607215E-2</v>
      </c>
      <c r="F29" s="22">
        <f t="shared" si="0"/>
        <v>9.8716190951015817E-2</v>
      </c>
    </row>
    <row r="30" spans="1:6">
      <c r="A30" s="449">
        <f t="shared" si="2"/>
        <v>1993</v>
      </c>
      <c r="B30" s="20">
        <f>[7]Datos!CX28</f>
        <v>5922.5</v>
      </c>
      <c r="C30" s="22">
        <f t="shared" si="3"/>
        <v>5.455743309413999E-2</v>
      </c>
      <c r="D30" s="30">
        <f>[7]Datos!AB28</f>
        <v>589.5</v>
      </c>
      <c r="E30" s="21">
        <f t="shared" si="1"/>
        <v>6.3311688311688361E-2</v>
      </c>
      <c r="F30" s="22">
        <f t="shared" si="0"/>
        <v>9.9535669058674545E-2</v>
      </c>
    </row>
    <row r="31" spans="1:6">
      <c r="A31" s="449">
        <f t="shared" si="2"/>
        <v>1994</v>
      </c>
      <c r="B31" s="20">
        <f>[7]Datos!CX29</f>
        <v>6091.3</v>
      </c>
      <c r="C31" s="22">
        <f t="shared" si="3"/>
        <v>2.8501477416631522E-2</v>
      </c>
      <c r="D31" s="30">
        <f>[7]Datos!AB29</f>
        <v>614.6</v>
      </c>
      <c r="E31" s="21">
        <f t="shared" si="1"/>
        <v>4.2578456318914375E-2</v>
      </c>
      <c r="F31" s="22">
        <f t="shared" si="0"/>
        <v>0.10089800206852396</v>
      </c>
    </row>
    <row r="32" spans="1:6">
      <c r="A32" s="449">
        <f t="shared" si="2"/>
        <v>1995</v>
      </c>
      <c r="B32" s="20">
        <f>[7]Datos!CX30</f>
        <v>6198</v>
      </c>
      <c r="C32" s="22">
        <f t="shared" si="3"/>
        <v>1.7516786236107206E-2</v>
      </c>
      <c r="D32" s="30">
        <f>[7]Datos!AB30</f>
        <v>615.79999999999995</v>
      </c>
      <c r="E32" s="21">
        <f t="shared" si="1"/>
        <v>1.9524894240155089E-3</v>
      </c>
      <c r="F32" s="22">
        <f t="shared" si="0"/>
        <v>9.9354630525976109E-2</v>
      </c>
    </row>
    <row r="33" spans="1:15">
      <c r="A33" s="449">
        <f t="shared" si="2"/>
        <v>1996</v>
      </c>
      <c r="B33" s="20">
        <f>[7]Datos!CX31</f>
        <v>6372.2000000000007</v>
      </c>
      <c r="C33" s="22">
        <f t="shared" si="3"/>
        <v>2.8105840593740033E-2</v>
      </c>
      <c r="D33" s="30">
        <f>[7]Datos!AB31</f>
        <v>608.1</v>
      </c>
      <c r="E33" s="21">
        <f t="shared" si="1"/>
        <v>-1.2504059759662118E-2</v>
      </c>
      <c r="F33" s="22">
        <f t="shared" si="0"/>
        <v>9.5430149712815035E-2</v>
      </c>
    </row>
    <row r="34" spans="1:15">
      <c r="A34" s="449">
        <f t="shared" si="2"/>
        <v>1997</v>
      </c>
      <c r="B34" s="20">
        <f>[7]Datos!CX32</f>
        <v>6807.2766047027162</v>
      </c>
      <c r="C34" s="22">
        <f t="shared" si="3"/>
        <v>6.8277299002340711E-2</v>
      </c>
      <c r="D34" s="30">
        <f>[7]Datos!AB32</f>
        <v>627.8988604503935</v>
      </c>
      <c r="E34" s="21">
        <f t="shared" si="1"/>
        <v>3.2558560188116224E-2</v>
      </c>
      <c r="F34" s="22">
        <f t="shared" si="0"/>
        <v>9.2239363391905943E-2</v>
      </c>
    </row>
    <row r="35" spans="1:15">
      <c r="A35" s="449">
        <f t="shared" si="2"/>
        <v>1998</v>
      </c>
      <c r="B35" s="20">
        <f>[7]Datos!CX33</f>
        <v>6947.1999999999989</v>
      </c>
      <c r="C35" s="22">
        <f t="shared" si="3"/>
        <v>2.0554974246326126E-2</v>
      </c>
      <c r="D35" s="30">
        <f>[7]Datos!AB33</f>
        <v>672.1</v>
      </c>
      <c r="E35" s="21">
        <f t="shared" si="1"/>
        <v>7.0395317357163117E-2</v>
      </c>
      <c r="F35" s="22">
        <f t="shared" si="0"/>
        <v>9.6744011976047928E-2</v>
      </c>
    </row>
    <row r="36" spans="1:15">
      <c r="A36" s="449">
        <f t="shared" si="2"/>
        <v>1999</v>
      </c>
      <c r="B36" s="20">
        <f>[7]Datos!CX34</f>
        <v>7169.9000000000005</v>
      </c>
      <c r="C36" s="22">
        <f t="shared" si="3"/>
        <v>3.2056080147397754E-2</v>
      </c>
      <c r="D36" s="30">
        <f>[7]Datos!AB34</f>
        <v>622</v>
      </c>
      <c r="E36" s="21">
        <f t="shared" si="1"/>
        <v>-7.4542478797797976E-2</v>
      </c>
      <c r="F36" s="22">
        <f t="shared" si="0"/>
        <v>8.675155859914363E-2</v>
      </c>
    </row>
    <row r="37" spans="1:15">
      <c r="A37" s="449">
        <f t="shared" si="2"/>
        <v>2000</v>
      </c>
      <c r="B37" s="20">
        <f>[7]Datos!CX35</f>
        <v>7345.6999999999989</v>
      </c>
      <c r="C37" s="22">
        <f t="shared" si="3"/>
        <v>2.4519170420786669E-2</v>
      </c>
      <c r="D37" s="30">
        <f>[7]Datos!AB35</f>
        <v>589.20000000000005</v>
      </c>
      <c r="E37" s="21">
        <f t="shared" si="1"/>
        <v>-5.2733118971061019E-2</v>
      </c>
      <c r="F37" s="22">
        <f t="shared" si="0"/>
        <v>8.0210190996092973E-2</v>
      </c>
    </row>
    <row r="38" spans="1:15">
      <c r="A38" s="449">
        <f t="shared" si="2"/>
        <v>2001</v>
      </c>
      <c r="B38" s="20">
        <f>[7]Datos!CX36</f>
        <v>7372.61010719755</v>
      </c>
      <c r="C38" s="22">
        <f t="shared" si="3"/>
        <v>3.6633822777340547E-3</v>
      </c>
      <c r="D38" s="30">
        <f>[7]Datos!AB36</f>
        <v>555.6</v>
      </c>
      <c r="E38" s="21">
        <f t="shared" si="1"/>
        <v>-5.7026476578411436E-2</v>
      </c>
      <c r="F38" s="22">
        <f t="shared" si="0"/>
        <v>7.5360013878611673E-2</v>
      </c>
    </row>
    <row r="39" spans="1:15">
      <c r="A39" s="449">
        <f t="shared" si="2"/>
        <v>2002</v>
      </c>
      <c r="B39" s="20">
        <f>[7]Datos!CX37</f>
        <v>7682.2686741081388</v>
      </c>
      <c r="C39" s="22">
        <f t="shared" si="3"/>
        <v>4.2001212922989521E-2</v>
      </c>
      <c r="D39" s="30">
        <f>[7]Datos!AB37</f>
        <v>541.03735749780765</v>
      </c>
      <c r="E39" s="21">
        <f t="shared" si="1"/>
        <v>-2.6210659651174181E-2</v>
      </c>
      <c r="F39" s="22">
        <f t="shared" si="0"/>
        <v>7.0426768504112308E-2</v>
      </c>
    </row>
    <row r="40" spans="1:15">
      <c r="A40" s="449">
        <f t="shared" si="2"/>
        <v>2003</v>
      </c>
      <c r="B40" s="20">
        <f>[7]Datos!CX38</f>
        <v>7881.9392110616636</v>
      </c>
      <c r="C40" s="22">
        <f t="shared" si="3"/>
        <v>2.5991090057352784E-2</v>
      </c>
      <c r="D40" s="30">
        <f>[7]Datos!AB38</f>
        <v>522.63104355451617</v>
      </c>
      <c r="E40" s="21">
        <f t="shared" si="1"/>
        <v>-3.4020412247348489E-2</v>
      </c>
      <c r="F40" s="22">
        <f t="shared" si="0"/>
        <v>6.6307418715060101E-2</v>
      </c>
    </row>
    <row r="41" spans="1:15">
      <c r="A41" s="449">
        <f t="shared" si="2"/>
        <v>2004</v>
      </c>
      <c r="B41" s="20">
        <f>[7]Datos!CX39</f>
        <v>8373.9903204816346</v>
      </c>
      <c r="C41" s="22">
        <f t="shared" si="3"/>
        <v>6.242767119155361E-2</v>
      </c>
      <c r="D41" s="30">
        <f>[7]Datos!AB39</f>
        <v>533.51242326805016</v>
      </c>
      <c r="E41" s="21">
        <f t="shared" si="1"/>
        <v>2.0820385332504538E-2</v>
      </c>
      <c r="F41" s="22">
        <f t="shared" si="0"/>
        <v>6.3710656789649225E-2</v>
      </c>
    </row>
    <row r="42" spans="1:15">
      <c r="A42" s="449">
        <f t="shared" si="2"/>
        <v>2005</v>
      </c>
      <c r="B42" s="20">
        <f>[7]Datos!CX40</f>
        <v>9081.422412048847</v>
      </c>
      <c r="C42" s="22">
        <f t="shared" si="3"/>
        <v>8.4479688236196102E-2</v>
      </c>
      <c r="D42" s="30">
        <f>[7]Datos!AB40</f>
        <v>555.92481730488157</v>
      </c>
      <c r="E42" s="21">
        <f t="shared" si="1"/>
        <v>4.200913242009148E-2</v>
      </c>
      <c r="F42" s="22">
        <f t="shared" si="0"/>
        <v>6.1215610515738594E-2</v>
      </c>
    </row>
    <row r="43" spans="1:15">
      <c r="A43" s="450">
        <f t="shared" si="2"/>
        <v>2006</v>
      </c>
      <c r="B43" s="24">
        <f>[7]Datos!CX41</f>
        <v>9788.3682028639505</v>
      </c>
      <c r="C43" s="25">
        <f t="shared" si="3"/>
        <v>7.784527122944504E-2</v>
      </c>
      <c r="D43" s="31">
        <f>[7]Datos!AB41</f>
        <v>577.47103186202855</v>
      </c>
      <c r="E43" s="89">
        <f t="shared" si="1"/>
        <v>3.8757425260492653E-2</v>
      </c>
      <c r="F43" s="25">
        <f t="shared" si="0"/>
        <v>5.8995638485796635E-2</v>
      </c>
      <c r="N43" s="238" t="s">
        <v>32</v>
      </c>
      <c r="O43" s="238" t="s">
        <v>33</v>
      </c>
    </row>
    <row r="44" spans="1:15">
      <c r="A44" s="450">
        <f t="shared" si="2"/>
        <v>2007</v>
      </c>
      <c r="B44" s="24">
        <f>[7]Datos!CX42</f>
        <v>11002.804099426618</v>
      </c>
      <c r="C44" s="25">
        <f t="shared" si="3"/>
        <v>0.12406929034477256</v>
      </c>
      <c r="D44" s="31">
        <f>[7]Datos!AB42</f>
        <v>609.95276235018991</v>
      </c>
      <c r="E44" s="89">
        <f t="shared" si="1"/>
        <v>5.6248242242429941E-2</v>
      </c>
      <c r="F44" s="25">
        <f t="shared" si="0"/>
        <v>5.5436119450856712E-2</v>
      </c>
    </row>
    <row r="45" spans="1:15">
      <c r="A45" s="451">
        <f t="shared" si="2"/>
        <v>2008</v>
      </c>
      <c r="B45" s="452">
        <f>[7]Datos!CX43</f>
        <v>12132.014935933918</v>
      </c>
      <c r="C45" s="453">
        <f>(B45-B44)/B44</f>
        <v>0.10262936850490194</v>
      </c>
      <c r="D45" s="454">
        <f>[7]Datos!AB43</f>
        <v>633.88172838351363</v>
      </c>
      <c r="E45" s="455">
        <f t="shared" si="1"/>
        <v>3.9230851158249973E-2</v>
      </c>
      <c r="F45" s="453">
        <f t="shared" si="0"/>
        <v>5.2248676887630102E-2</v>
      </c>
    </row>
    <row r="46" spans="1:15">
      <c r="A46" s="456">
        <f t="shared" si="2"/>
        <v>2009</v>
      </c>
      <c r="B46" s="457">
        <f>[7]Datos!CX44</f>
        <v>12529.358670555303</v>
      </c>
      <c r="C46" s="453">
        <f>(B46-B45)/B45</f>
        <v>3.2751668763981591E-2</v>
      </c>
      <c r="D46" s="458">
        <f>[7]Datos!AB44</f>
        <v>630.09143525285003</v>
      </c>
      <c r="E46" s="459">
        <f t="shared" si="1"/>
        <v>-5.9794957969988701E-3</v>
      </c>
      <c r="F46" s="460">
        <f t="shared" si="0"/>
        <v>5.0289200893705782E-2</v>
      </c>
    </row>
    <row r="47" spans="1:15">
      <c r="A47" s="461">
        <f t="shared" si="2"/>
        <v>2010</v>
      </c>
      <c r="B47" s="34">
        <f>[7]Datos!CX45</f>
        <v>13523.004739279306</v>
      </c>
      <c r="C47" s="453">
        <f>(B47-B46)/B46</f>
        <v>7.9305421358806444E-2</v>
      </c>
      <c r="D47" s="29">
        <f>[7]Datos!AB45</f>
        <v>637.02087109032436</v>
      </c>
      <c r="E47" s="35">
        <f t="shared" si="1"/>
        <v>1.0997508377008186E-2</v>
      </c>
      <c r="F47" s="32">
        <f t="shared" si="0"/>
        <v>4.7106459205772173E-2</v>
      </c>
    </row>
    <row r="48" spans="1:15">
      <c r="A48" s="461">
        <f t="shared" si="2"/>
        <v>2011</v>
      </c>
      <c r="B48" s="34">
        <f>[7]Datos!CX46</f>
        <v>15092.879271304215</v>
      </c>
      <c r="C48" s="453">
        <f>(B48-B47)/B47</f>
        <v>0.11608918005219702</v>
      </c>
      <c r="D48" s="29">
        <f>[7]Datos!AB46</f>
        <v>657.59263373282647</v>
      </c>
      <c r="E48" s="35">
        <f t="shared" si="1"/>
        <v>3.2293702727967923E-2</v>
      </c>
      <c r="F48" s="32">
        <f t="shared" si="0"/>
        <v>4.3569727280804132E-2</v>
      </c>
    </row>
    <row r="49" spans="1:6">
      <c r="A49" s="462">
        <f t="shared" si="2"/>
        <v>2012</v>
      </c>
      <c r="B49" s="463">
        <f>[7]Datos!CX47</f>
        <v>16502.240181051773</v>
      </c>
      <c r="C49" s="464">
        <f t="shared" si="3"/>
        <v>9.3379194546871352E-2</v>
      </c>
      <c r="D49" s="465">
        <f>[7]Datos!AB47</f>
        <v>679.74957772108917</v>
      </c>
      <c r="E49" s="466">
        <f t="shared" si="1"/>
        <v>3.3694027049069486E-2</v>
      </c>
      <c r="F49" s="464">
        <f t="shared" si="0"/>
        <v>4.1191351614285207E-2</v>
      </c>
    </row>
    <row r="50" spans="1:6">
      <c r="A50" s="461">
        <f t="shared" si="2"/>
        <v>2013</v>
      </c>
      <c r="B50" s="34">
        <f>B49*(1+'[7]Pronosticos PIB 2013-2027 '!Q22)</f>
        <v>17128.091882733996</v>
      </c>
      <c r="C50" s="32">
        <f t="shared" si="3"/>
        <v>3.7925257105446739E-2</v>
      </c>
      <c r="D50" s="29">
        <f>D49*(1+'[7]Pronosticos MANU 2013-27 1996'!J24)</f>
        <v>675.68582586862726</v>
      </c>
      <c r="E50" s="35">
        <f t="shared" si="1"/>
        <v>-5.9783072849944746E-3</v>
      </c>
      <c r="F50" s="32">
        <f t="shared" si="0"/>
        <v>3.944898418893663E-2</v>
      </c>
    </row>
    <row r="51" spans="1:6">
      <c r="A51" s="449">
        <f t="shared" si="2"/>
        <v>2014</v>
      </c>
      <c r="B51" s="20">
        <f>B50*(1+'[7]Pronosticos PIB 2013-2027 '!Q23)</f>
        <v>17813.215558043357</v>
      </c>
      <c r="C51" s="22">
        <f t="shared" si="3"/>
        <v>4.0000000000000112E-2</v>
      </c>
      <c r="D51" s="30">
        <f>D50*(1+'[7]Pronosticos MANU 2013-27 1996'!J25)</f>
        <v>701.27787855694078</v>
      </c>
      <c r="E51" s="36">
        <f t="shared" si="1"/>
        <v>3.7875668999588198E-2</v>
      </c>
      <c r="F51" s="22">
        <f t="shared" si="0"/>
        <v>3.9368404669660365E-2</v>
      </c>
    </row>
    <row r="52" spans="1:6">
      <c r="A52" s="461">
        <f t="shared" si="2"/>
        <v>2015</v>
      </c>
      <c r="B52" s="34">
        <f>B51*(1+'[7]Pronosticos PIB 2013-2027 '!Q24)</f>
        <v>18525.744180365091</v>
      </c>
      <c r="C52" s="32">
        <f t="shared" si="3"/>
        <v>3.9999999999999959E-2</v>
      </c>
      <c r="D52" s="29">
        <f>D51*(1+'[7]Pronosticos MANU 2013-27 1996'!J26)</f>
        <v>748.56754113317254</v>
      </c>
      <c r="E52" s="35">
        <f t="shared" si="1"/>
        <v>6.7433558111860567E-2</v>
      </c>
      <c r="F52" s="32">
        <f t="shared" si="0"/>
        <v>4.0406881032426109E-2</v>
      </c>
    </row>
    <row r="53" spans="1:6">
      <c r="A53" s="449">
        <f t="shared" si="2"/>
        <v>2016</v>
      </c>
      <c r="B53" s="20">
        <f>B52*(1+'[7]Pronosticos PIB 2013-2027 '!Q25)</f>
        <v>19266.773947579695</v>
      </c>
      <c r="C53" s="22">
        <f t="shared" si="3"/>
        <v>4.0000000000000042E-2</v>
      </c>
      <c r="D53" s="30">
        <f>D52*(1+'[7]Pronosticos MANU 2013-27 1996'!J27)</f>
        <v>765.5361847634673</v>
      </c>
      <c r="E53" s="36">
        <f t="shared" si="1"/>
        <v>2.2668153102935556E-2</v>
      </c>
      <c r="F53" s="22">
        <f t="shared" si="0"/>
        <v>3.9733490767385811E-2</v>
      </c>
    </row>
    <row r="54" spans="1:6">
      <c r="A54" s="449">
        <f t="shared" si="2"/>
        <v>2017</v>
      </c>
      <c r="B54" s="20">
        <f>B53*(1+'[7]Pronosticos PIB 2013-2027 '!Q26)</f>
        <v>19989.277970613937</v>
      </c>
      <c r="C54" s="22">
        <f t="shared" si="3"/>
        <v>3.7500000000000179E-2</v>
      </c>
      <c r="D54" s="30">
        <f>D53*(1+'[7]Pronosticos MANU 2013-27 1996'!J28)</f>
        <v>789.73736502306815</v>
      </c>
      <c r="E54" s="36">
        <f t="shared" si="1"/>
        <v>3.1613372093023194E-2</v>
      </c>
      <c r="F54" s="22">
        <f t="shared" si="0"/>
        <v>3.9508048574043254E-2</v>
      </c>
    </row>
    <row r="55" spans="1:6">
      <c r="A55" s="449">
        <f t="shared" si="2"/>
        <v>2018</v>
      </c>
      <c r="B55" s="20">
        <f>B54*(1+'[7]Pronosticos PIB 2013-2027 '!Q27)</f>
        <v>20738.875894511963</v>
      </c>
      <c r="C55" s="22">
        <f t="shared" si="3"/>
        <v>3.7500000000000137E-2</v>
      </c>
      <c r="D55" s="30">
        <f>D54*(1+'[7]Pronosticos MANU 2013-27 1996'!J29)</f>
        <v>817.83298808306472</v>
      </c>
      <c r="E55" s="36">
        <f t="shared" si="1"/>
        <v>3.5575907009510556E-2</v>
      </c>
      <c r="F55" s="22">
        <f t="shared" si="0"/>
        <v>3.9434779022882539E-2</v>
      </c>
    </row>
    <row r="56" spans="1:6">
      <c r="A56" s="449">
        <f t="shared" si="2"/>
        <v>2019</v>
      </c>
      <c r="B56" s="20">
        <f>B55*(1+'[7]Pronosticos PIB 2013-2027 '!Q28)</f>
        <v>21516.583740556162</v>
      </c>
      <c r="C56" s="22">
        <f t="shared" si="3"/>
        <v>3.7500000000000019E-2</v>
      </c>
      <c r="D56" s="30">
        <f>D55*(1+'[7]Pronosticos MANU 2013-27 1996'!J30)</f>
        <v>844.53773871434862</v>
      </c>
      <c r="E56" s="36">
        <f t="shared" si="1"/>
        <v>3.2653061224489986E-2</v>
      </c>
      <c r="F56" s="22">
        <f t="shared" si="0"/>
        <v>3.9250549664280439E-2</v>
      </c>
    </row>
    <row r="57" spans="1:6">
      <c r="A57" s="449">
        <f t="shared" si="2"/>
        <v>2020</v>
      </c>
      <c r="B57" s="20">
        <f>B56*(1+'[7]Pronosticos PIB 2013-2027 '!Q29)</f>
        <v>22323.455630827018</v>
      </c>
      <c r="C57" s="22">
        <f t="shared" si="3"/>
        <v>3.750000000000004E-2</v>
      </c>
      <c r="D57" s="30">
        <f>D56*(1+'[7]Pronosticos MANU 2013-27 1996'!J31)</f>
        <v>875.1369321460279</v>
      </c>
      <c r="E57" s="36">
        <f t="shared" si="1"/>
        <v>3.6231884057970995E-2</v>
      </c>
      <c r="F57" s="22">
        <f t="shared" si="0"/>
        <v>3.9202574485714008E-2</v>
      </c>
    </row>
    <row r="58" spans="1:6">
      <c r="A58" s="450">
        <f t="shared" si="2"/>
        <v>2021</v>
      </c>
      <c r="B58" s="24">
        <f>B57*(1+'[7]Pronosticos PIB 2013-2027 '!Q30)</f>
        <v>23160.585216983032</v>
      </c>
      <c r="C58" s="25">
        <f t="shared" si="3"/>
        <v>3.7500000000000026E-2</v>
      </c>
      <c r="D58" s="31">
        <f>D57*(1+'[7]Pronosticos MANU 2013-27 1996'!J32)</f>
        <v>902.39803174879648</v>
      </c>
      <c r="E58" s="40">
        <f t="shared" si="1"/>
        <v>3.1150667514303596E-2</v>
      </c>
      <c r="F58" s="25">
        <f t="shared" si="0"/>
        <v>3.896266105949224E-2</v>
      </c>
    </row>
    <row r="59" spans="1:6">
      <c r="A59" s="450">
        <f t="shared" si="2"/>
        <v>2022</v>
      </c>
      <c r="B59" s="111">
        <f>B58*(1+'[7]Pronosticos PIB 2013-2027 '!Q31)</f>
        <v>23971.205699577436</v>
      </c>
      <c r="C59" s="25">
        <f t="shared" si="3"/>
        <v>3.4999999999999913E-2</v>
      </c>
      <c r="D59" s="112">
        <f>D58*(1+'[7]Pronosticos MANU 2013-27 1996'!J33)</f>
        <v>928.82460789433765</v>
      </c>
      <c r="E59" s="40">
        <f t="shared" si="1"/>
        <v>2.9284833538840892E-2</v>
      </c>
      <c r="F59" s="25">
        <f t="shared" si="0"/>
        <v>3.8747513142850007E-2</v>
      </c>
    </row>
    <row r="60" spans="1:6">
      <c r="A60" s="449">
        <f t="shared" si="2"/>
        <v>2023</v>
      </c>
      <c r="B60" s="117">
        <f>B59*(1+'[7]Pronosticos PIB 2013-2027 '!Q32)</f>
        <v>24810.197899062645</v>
      </c>
      <c r="C60" s="22">
        <f t="shared" si="3"/>
        <v>3.499999999999992E-2</v>
      </c>
      <c r="D60" s="118">
        <f>D59*(1+'[7]Pronosticos MANU 2013-27 1996'!J34)</f>
        <v>952.46943918245358</v>
      </c>
      <c r="E60" s="36">
        <f t="shared" si="1"/>
        <v>2.5456723569931252E-2</v>
      </c>
      <c r="F60" s="22">
        <f t="shared" si="0"/>
        <v>3.8390239491738955E-2</v>
      </c>
    </row>
    <row r="61" spans="1:6">
      <c r="A61" s="467">
        <f t="shared" si="2"/>
        <v>2024</v>
      </c>
      <c r="B61" s="116">
        <f>B60*(1+'[7]Pronosticos PIB 2013-2027 '!Q33)</f>
        <v>25678.554825529834</v>
      </c>
      <c r="C61" s="22">
        <f>(B61-B60)/B60</f>
        <v>3.4999999999999878E-2</v>
      </c>
      <c r="D61" s="30">
        <f>D60*(1+'[7]Pronosticos MANU 2013-27 1996'!J35)</f>
        <v>995.30830998680472</v>
      </c>
      <c r="E61" s="36">
        <f t="shared" si="1"/>
        <v>4.4976635514018821E-2</v>
      </c>
      <c r="F61" s="22">
        <f t="shared" si="0"/>
        <v>3.8760293044110911E-2</v>
      </c>
    </row>
    <row r="62" spans="1:6">
      <c r="A62" s="467">
        <f t="shared" si="2"/>
        <v>2025</v>
      </c>
      <c r="B62" s="116">
        <f>B61*(1+'[7]Pronosticos PIB 2013-2027 '!Q34)</f>
        <v>26577.304244423376</v>
      </c>
      <c r="C62" s="22">
        <f t="shared" si="3"/>
        <v>3.4999999999999899E-2</v>
      </c>
      <c r="D62" s="30">
        <f>D61*(1+'[7]Pronosticos MANU 2013-27 1996'!J36)</f>
        <v>1022.847584075316</v>
      </c>
      <c r="E62" s="36">
        <f t="shared" si="1"/>
        <v>2.7669088876467254E-2</v>
      </c>
      <c r="F62" s="22">
        <f t="shared" si="0"/>
        <v>3.848575365915588E-2</v>
      </c>
    </row>
    <row r="63" spans="1:6">
      <c r="A63" s="467">
        <f t="shared" si="2"/>
        <v>2026</v>
      </c>
      <c r="B63" s="116">
        <f>B62*(1+'[7]Pronosticos PIB 2013-2027 '!Q35)</f>
        <v>27507.509892978193</v>
      </c>
      <c r="C63" s="22">
        <f t="shared" si="3"/>
        <v>3.4999999999999934E-2</v>
      </c>
      <c r="D63" s="30">
        <f>D62*(1+'[7]Pronosticos MANU 2013-27 1996'!J37)</f>
        <v>1055.2561843665173</v>
      </c>
      <c r="E63" s="36">
        <f>(D63-D62)/D62</f>
        <v>3.1684681858538705E-2</v>
      </c>
      <c r="F63" s="22">
        <f t="shared" si="0"/>
        <v>3.8362475864668913E-2</v>
      </c>
    </row>
    <row r="64" spans="1:6">
      <c r="A64" s="467">
        <f t="shared" si="2"/>
        <v>2027</v>
      </c>
      <c r="B64" s="116">
        <f>B63*(1+'[7]Pronosticos PIB 2013-2027 '!Q36)</f>
        <v>28470.272739232427</v>
      </c>
      <c r="C64" s="22">
        <f t="shared" si="3"/>
        <v>3.4999999999999913E-2</v>
      </c>
      <c r="D64" s="30">
        <f>D63*(1+'[7]Pronosticos MANU 2013-27 1996'!J38)</f>
        <v>1088.691640847426</v>
      </c>
      <c r="E64" s="36">
        <f>(D64-D63)/D63</f>
        <v>3.1684681858538802E-2</v>
      </c>
      <c r="F64" s="22">
        <f t="shared" si="0"/>
        <v>3.8239592954344759E-2</v>
      </c>
    </row>
    <row r="65" spans="1:6" ht="13.5" thickBot="1">
      <c r="A65" s="468"/>
      <c r="B65" s="115"/>
      <c r="C65" s="113"/>
      <c r="D65" s="110"/>
      <c r="E65" s="114"/>
      <c r="F65" s="113"/>
    </row>
    <row r="66" spans="1:6" ht="13.5" thickBot="1">
      <c r="A66" s="1338" t="s">
        <v>1</v>
      </c>
      <c r="B66" s="1339"/>
      <c r="C66" s="469">
        <f>AVERAGE(C50:C64)</f>
        <v>3.7028350473696452E-2</v>
      </c>
      <c r="D66" s="90"/>
      <c r="E66" s="470">
        <f>AVERAGE(E50:E64)</f>
        <v>3.1998707336334919E-2</v>
      </c>
      <c r="F66" s="469">
        <f>AVERAGE(F50:F64)</f>
        <v>3.9086816108112724E-2</v>
      </c>
    </row>
    <row r="67" spans="1:6" ht="24" customHeight="1">
      <c r="A67" s="268" t="s">
        <v>31</v>
      </c>
      <c r="B67" s="247"/>
      <c r="C67" s="438">
        <f>RATE(A45-A41,,-B41,B45)</f>
        <v>9.7109865686075436E-2</v>
      </c>
      <c r="D67" s="38"/>
      <c r="E67" s="438">
        <f>RATE(A45-A40,,-D40,D45)</f>
        <v>3.9351880496241429E-2</v>
      </c>
      <c r="F67" s="37"/>
    </row>
    <row r="68" spans="1:6" ht="54.75" customHeight="1">
      <c r="A68" s="1340" t="s">
        <v>160</v>
      </c>
      <c r="B68" s="1340"/>
      <c r="C68" s="1340"/>
      <c r="D68" s="1340"/>
      <c r="E68" s="1340"/>
      <c r="F68" s="997"/>
    </row>
    <row r="69" spans="1:6" ht="55.15" customHeight="1">
      <c r="A69" s="1340" t="s">
        <v>161</v>
      </c>
      <c r="B69" s="1340"/>
      <c r="C69" s="1340"/>
      <c r="D69" s="1340"/>
      <c r="E69" s="1340"/>
      <c r="F69" s="997"/>
    </row>
    <row r="70" spans="1:6" ht="13.15" customHeight="1">
      <c r="A70" s="997"/>
      <c r="B70" s="997"/>
      <c r="C70" s="997"/>
      <c r="D70" s="997"/>
      <c r="E70" s="997"/>
      <c r="F70" s="997"/>
    </row>
    <row r="71" spans="1:6" ht="13.15" customHeight="1">
      <c r="A71" s="997"/>
      <c r="B71" s="997"/>
      <c r="C71" s="997"/>
      <c r="D71" s="997"/>
      <c r="E71" s="997"/>
      <c r="F71" s="997"/>
    </row>
    <row r="72" spans="1:6">
      <c r="A72" s="997"/>
      <c r="B72" s="997"/>
      <c r="C72" s="997"/>
      <c r="D72" s="997"/>
      <c r="F72" s="997"/>
    </row>
    <row r="73" spans="1:6">
      <c r="A73" s="997"/>
      <c r="B73" s="997"/>
      <c r="C73" s="238" t="s">
        <v>36</v>
      </c>
      <c r="D73" s="1341" t="s">
        <v>39</v>
      </c>
      <c r="E73" s="238" t="s">
        <v>30</v>
      </c>
      <c r="F73" s="997"/>
    </row>
    <row r="74" spans="1:6">
      <c r="A74" s="268" t="s">
        <v>40</v>
      </c>
      <c r="C74" s="997" t="s">
        <v>41</v>
      </c>
      <c r="D74" s="1342"/>
      <c r="E74" s="997" t="s">
        <v>42</v>
      </c>
      <c r="F74" s="238" t="s">
        <v>43</v>
      </c>
    </row>
    <row r="75" spans="1:6">
      <c r="A75" s="238" t="s">
        <v>28</v>
      </c>
      <c r="C75" s="263">
        <f>AVERAGE(C17:C27)</f>
        <v>3.2448504887785744E-2</v>
      </c>
      <c r="D75" s="263">
        <f>+E75-C75</f>
        <v>-1.8258290883936532E-2</v>
      </c>
      <c r="E75" s="263">
        <f>AVERAGE(E17:E27)</f>
        <v>1.4190214003849212E-2</v>
      </c>
      <c r="F75" s="263">
        <f>AVERAGE(F17:F27)</f>
        <v>9.5776636202518764E-2</v>
      </c>
    </row>
    <row r="76" spans="1:6">
      <c r="A76" s="238" t="s">
        <v>44</v>
      </c>
      <c r="C76" s="263">
        <f>AVERAGE(C28:C37)</f>
        <v>4.5029592802015107E-2</v>
      </c>
      <c r="D76" s="263">
        <f>+E76-C76</f>
        <v>-1.8311491823968729E-2</v>
      </c>
      <c r="E76" s="263">
        <f>AVERAGE(E28:E37)</f>
        <v>2.6718100978046378E-2</v>
      </c>
      <c r="F76" s="263">
        <f>AVERAGE(F28:F37)</f>
        <v>9.4773349724320444E-2</v>
      </c>
    </row>
    <row r="77" spans="1:6">
      <c r="A77" s="239" t="s">
        <v>658</v>
      </c>
      <c r="C77" s="263">
        <f>AVERAGE(C38:C48)</f>
        <v>6.8295749539993705E-2</v>
      </c>
      <c r="D77" s="263">
        <f>+E77-C77</f>
        <v>-5.764845833591991E-2</v>
      </c>
      <c r="E77" s="263">
        <f>AVERAGE(E38:E48)</f>
        <v>1.0647291204073794E-2</v>
      </c>
      <c r="F77" s="263">
        <f>AVERAGE(F38:F44)</f>
        <v>6.4493175191403601E-2</v>
      </c>
    </row>
    <row r="78" spans="1:6">
      <c r="A78" s="268" t="s">
        <v>45</v>
      </c>
      <c r="B78" s="268"/>
      <c r="C78" s="471">
        <f>MAX(C8:C44)</f>
        <v>0.19937617774075858</v>
      </c>
      <c r="E78" s="471">
        <f>MAX(E8:E44)</f>
        <v>0.13783716901756987</v>
      </c>
      <c r="F78" s="471">
        <f>MAX(F8:F44)</f>
        <v>0.12772069855769996</v>
      </c>
    </row>
    <row r="79" spans="1:6">
      <c r="A79" s="268" t="s">
        <v>7</v>
      </c>
      <c r="B79" s="268"/>
      <c r="C79" s="471"/>
      <c r="D79" s="263">
        <f>AVERAGE(D75:D77)</f>
        <v>-3.1406080347941727E-2</v>
      </c>
      <c r="E79" s="471"/>
      <c r="F79" s="471"/>
    </row>
    <row r="80" spans="1:6">
      <c r="A80" s="988">
        <v>2012</v>
      </c>
      <c r="B80" s="268"/>
      <c r="C80" s="472">
        <f>+C49</f>
        <v>9.3379194546871352E-2</v>
      </c>
      <c r="D80" s="91"/>
      <c r="E80" s="472">
        <f>+E49</f>
        <v>3.3694027049069486E-2</v>
      </c>
      <c r="F80" s="472">
        <f>+F49</f>
        <v>4.1191351614285207E-2</v>
      </c>
    </row>
    <row r="81" spans="1:6">
      <c r="A81" s="239" t="s">
        <v>403</v>
      </c>
      <c r="C81" s="263">
        <f>AVERAGE(C48:C49)</f>
        <v>0.10473418729953418</v>
      </c>
      <c r="D81" s="263">
        <f>+E81-C81</f>
        <v>-7.1740322411015481E-2</v>
      </c>
      <c r="E81" s="263">
        <f>AVERAGE(E48:E49)</f>
        <v>3.2993864888518701E-2</v>
      </c>
      <c r="F81" s="263">
        <f>AVERAGE(F48:F49)</f>
        <v>4.238053944754467E-2</v>
      </c>
    </row>
    <row r="82" spans="1:6">
      <c r="A82" s="239" t="s">
        <v>638</v>
      </c>
      <c r="C82" s="263">
        <f>AVERAGE(C50:C53)</f>
        <v>3.9481314276361708E-2</v>
      </c>
      <c r="D82" s="263">
        <f>+E82-C82</f>
        <v>-8.9815460440142471E-3</v>
      </c>
      <c r="E82" s="263">
        <f>AVERAGE(E50:E53)</f>
        <v>3.0499768232347461E-2</v>
      </c>
      <c r="F82" s="263">
        <f>AVERAGE(F50:F53)</f>
        <v>3.9739440164602229E-2</v>
      </c>
    </row>
    <row r="83" spans="1:6">
      <c r="A83" s="239" t="s">
        <v>641</v>
      </c>
      <c r="C83" s="263">
        <f>AVERAGE(C54:C64)</f>
        <v>3.6136363636363626E-2</v>
      </c>
      <c r="D83" s="263">
        <f>+E83-C83</f>
        <v>-3.5925875349423486E-3</v>
      </c>
      <c r="E83" s="263">
        <f>AVERAGE(E54:E64)</f>
        <v>3.2543776101421278E-2</v>
      </c>
      <c r="F83" s="263">
        <f>AVERAGE(F54:F64)</f>
        <v>3.8849498269389264E-2</v>
      </c>
    </row>
  </sheetData>
  <mergeCells count="5">
    <mergeCell ref="A2:F2"/>
    <mergeCell ref="A66:B66"/>
    <mergeCell ref="A68:E68"/>
    <mergeCell ref="A69:E69"/>
    <mergeCell ref="D73:D74"/>
  </mergeCells>
  <printOptions horizontalCentered="1" verticalCentered="1"/>
  <pageMargins left="0.35433070866141736" right="0.35433070866141736" top="0.69" bottom="0.89" header="0" footer="0.42"/>
  <pageSetup scale="70" orientation="portrait" r:id="rId1"/>
  <headerFooter alignWithMargins="0">
    <oddFooter>&amp;LARCHIVO:  &amp;F
HOJA:  &amp;A&amp;R&amp;D</oddFooter>
  </headerFooter>
  <drawing r:id="rId2"/>
</worksheet>
</file>

<file path=xl/worksheets/sheet15.xml><?xml version="1.0" encoding="utf-8"?>
<worksheet xmlns="http://schemas.openxmlformats.org/spreadsheetml/2006/main" xmlns:r="http://schemas.openxmlformats.org/officeDocument/2006/relationships">
  <sheetPr codeName="Hoja13"/>
  <dimension ref="B1:F29"/>
  <sheetViews>
    <sheetView topLeftCell="A2" workbookViewId="0">
      <selection activeCell="E19" sqref="E19"/>
    </sheetView>
  </sheetViews>
  <sheetFormatPr baseColWidth="10" defaultRowHeight="12.75"/>
  <cols>
    <col min="1" max="1" width="2.28515625" customWidth="1"/>
    <col min="4" max="4" width="14" customWidth="1"/>
    <col min="7" max="7" width="2.28515625" customWidth="1"/>
  </cols>
  <sheetData>
    <row r="1" spans="2:6">
      <c r="B1" s="3" t="s">
        <v>262</v>
      </c>
    </row>
    <row r="2" spans="2:6" ht="8.4499999999999993" customHeight="1"/>
    <row r="3" spans="2:6">
      <c r="B3" s="1347" t="s">
        <v>215</v>
      </c>
      <c r="C3" s="1347"/>
      <c r="D3" s="1347"/>
      <c r="E3" s="1347"/>
      <c r="F3" s="1347"/>
    </row>
    <row r="4" spans="2:6">
      <c r="B4" s="1347"/>
      <c r="C4" s="1347"/>
      <c r="D4" s="1347"/>
      <c r="E4" s="1347"/>
      <c r="F4" s="1347"/>
    </row>
    <row r="5" spans="2:6">
      <c r="B5" s="166"/>
      <c r="C5" s="166"/>
      <c r="D5" s="1000" t="s">
        <v>637</v>
      </c>
      <c r="E5" s="166"/>
      <c r="F5" s="166"/>
    </row>
    <row r="6" spans="2:6" ht="13.5" thickBot="1">
      <c r="B6" s="3"/>
    </row>
    <row r="7" spans="2:6">
      <c r="B7" s="13" t="s">
        <v>47</v>
      </c>
      <c r="C7" s="999" t="s">
        <v>0</v>
      </c>
      <c r="D7" s="1343" t="s">
        <v>48</v>
      </c>
      <c r="E7" s="1345" t="s">
        <v>46</v>
      </c>
      <c r="F7" s="1346"/>
    </row>
    <row r="8" spans="2:6">
      <c r="B8" s="4"/>
      <c r="C8" s="1152"/>
      <c r="D8" s="1344"/>
      <c r="E8" s="1153" t="s">
        <v>42</v>
      </c>
      <c r="F8" s="1154" t="s">
        <v>43</v>
      </c>
    </row>
    <row r="9" spans="2:6">
      <c r="B9" s="1155" t="s">
        <v>49</v>
      </c>
      <c r="C9" s="1156"/>
      <c r="D9" s="1156"/>
      <c r="E9" s="1157"/>
      <c r="F9" s="1158"/>
    </row>
    <row r="10" spans="2:6">
      <c r="B10" s="18" t="s">
        <v>28</v>
      </c>
      <c r="C10" s="42">
        <f>'11-PIB-Moderado Base-1982'!C75</f>
        <v>3.2448504887785744E-2</v>
      </c>
      <c r="D10" s="42">
        <f>'11-PIB-Moderado Base-1982'!D75</f>
        <v>-1.8258290883936532E-2</v>
      </c>
      <c r="E10" s="42">
        <f>'11-PIB-Moderado Base-1982'!E75</f>
        <v>1.4190214003849212E-2</v>
      </c>
      <c r="F10" s="43">
        <f>'11-PIB-Moderado Base-1982'!F75</f>
        <v>9.5776636202518764E-2</v>
      </c>
    </row>
    <row r="11" spans="2:6">
      <c r="B11" s="19" t="s">
        <v>44</v>
      </c>
      <c r="C11" s="42">
        <f>'11-PIB-Moderado Base-1982'!C76</f>
        <v>4.5029592802015107E-2</v>
      </c>
      <c r="D11" s="42">
        <f>'11-PIB-Moderado Base-1982'!D76</f>
        <v>-1.8311491823968729E-2</v>
      </c>
      <c r="E11" s="42">
        <f>'11-PIB-Moderado Base-1982'!E76</f>
        <v>2.6718100978046378E-2</v>
      </c>
      <c r="F11" s="43">
        <f>'11-PIB-Moderado Base-1982'!F76</f>
        <v>9.4773349724320444E-2</v>
      </c>
    </row>
    <row r="12" spans="2:6">
      <c r="B12" s="170" t="s">
        <v>402</v>
      </c>
      <c r="C12" s="42">
        <f>'11-PIB-Moderado Base-1982'!C77</f>
        <v>7.0386036623900181E-2</v>
      </c>
      <c r="D12" s="42">
        <f>'11-PIB-Moderado Base-1982'!D77</f>
        <v>-5.7818184099410079E-2</v>
      </c>
      <c r="E12" s="42">
        <f>'11-PIB-Moderado Base-1982'!E77</f>
        <v>1.2567852524490102E-2</v>
      </c>
      <c r="F12" s="43">
        <f>'11-PIB-Moderado Base-1982'!F77</f>
        <v>5.7154803518501884E-2</v>
      </c>
    </row>
    <row r="13" spans="2:6">
      <c r="B13" s="4" t="s">
        <v>45</v>
      </c>
      <c r="C13" s="1159">
        <f>'11-PIB-Moderado Base-1982'!C78</f>
        <v>0.19937617774075858</v>
      </c>
      <c r="D13" s="1160"/>
      <c r="E13" s="47">
        <f>'11-PIB-Moderado Base-1982'!E78</f>
        <v>0.13783716901756987</v>
      </c>
      <c r="F13" s="49">
        <f>'11-PIB-Moderado Base-1982'!F78</f>
        <v>0.12772069855769996</v>
      </c>
    </row>
    <row r="14" spans="2:6">
      <c r="B14" s="4" t="s">
        <v>7</v>
      </c>
      <c r="C14" s="1159"/>
      <c r="D14" s="1161">
        <f>AVERAGE(D10:D12)</f>
        <v>-3.1462655602438445E-2</v>
      </c>
      <c r="E14" s="1159"/>
      <c r="F14" s="1162"/>
    </row>
    <row r="15" spans="2:6">
      <c r="B15" s="51" t="s">
        <v>34</v>
      </c>
      <c r="C15" s="1163"/>
      <c r="D15" s="1164"/>
      <c r="E15" s="1163"/>
      <c r="F15" s="1165"/>
    </row>
    <row r="16" spans="2:6">
      <c r="B16" s="46">
        <v>2012</v>
      </c>
      <c r="C16" s="47">
        <f>'11-PIB-Moderado Base-1982'!C80</f>
        <v>9.3379194546871352E-2</v>
      </c>
      <c r="D16" s="48"/>
      <c r="E16" s="47">
        <f>'11-PIB-Moderado Base-1982'!E80</f>
        <v>3.3694027049069486E-2</v>
      </c>
      <c r="F16" s="49">
        <f>'11-PIB-Moderado Base-1982'!F80</f>
        <v>4.1191351614285207E-2</v>
      </c>
    </row>
    <row r="17" spans="2:6">
      <c r="B17" s="171" t="s">
        <v>403</v>
      </c>
      <c r="C17" s="44">
        <f>'11-PIB-Moderado Base-1982'!C81</f>
        <v>0.10473418729953418</v>
      </c>
      <c r="D17" s="44">
        <f>'11-PIB-Moderado Base-1982'!D81</f>
        <v>-7.1740322411015481E-2</v>
      </c>
      <c r="E17" s="44">
        <f>'11-PIB-Moderado Base-1982'!E81</f>
        <v>3.2993864888518701E-2</v>
      </c>
      <c r="F17" s="45">
        <f>'11-PIB-Moderado Base-1982'!F81</f>
        <v>4.238053944754467E-2</v>
      </c>
    </row>
    <row r="18" spans="2:6">
      <c r="B18" s="171" t="s">
        <v>638</v>
      </c>
      <c r="C18" s="44">
        <f>'11-PIB-Moderado Base-1982'!C82</f>
        <v>6.4126893427712953E-2</v>
      </c>
      <c r="D18" s="44">
        <f>'11-PIB-Moderado Base-1982'!D82</f>
        <v>-2.215817072046089E-2</v>
      </c>
      <c r="E18" s="44">
        <f>'11-PIB-Moderado Base-1982'!E82</f>
        <v>4.1968722707252062E-2</v>
      </c>
      <c r="F18" s="45">
        <f>'11-PIB-Moderado Base-1982'!F82</f>
        <v>3.8436831761497786E-2</v>
      </c>
    </row>
    <row r="19" spans="2:6">
      <c r="B19" s="172" t="s">
        <v>641</v>
      </c>
      <c r="C19" s="44">
        <f>'11-PIB-Moderado Base-1982'!C83</f>
        <v>5.0000000000000044E-2</v>
      </c>
      <c r="D19" s="44">
        <f>'11-PIB-Moderado Base-1982'!D83</f>
        <v>-1.1651832374096574E-2</v>
      </c>
      <c r="E19" s="44">
        <f>'11-PIB-Moderado Base-1982'!E83</f>
        <v>3.834816762590347E-2</v>
      </c>
      <c r="F19" s="45">
        <f>'11-PIB-Moderado Base-1982'!F83</f>
        <v>3.5442050615970187E-2</v>
      </c>
    </row>
    <row r="20" spans="2:6">
      <c r="B20" s="50" t="s">
        <v>35</v>
      </c>
      <c r="C20" s="1166"/>
      <c r="D20" s="1166"/>
      <c r="E20" s="1166"/>
      <c r="F20" s="1167"/>
    </row>
    <row r="21" spans="2:6">
      <c r="B21" s="46">
        <v>2012</v>
      </c>
      <c r="C21" s="47">
        <f>'12-PIB-Optimista Base-1982'!C80</f>
        <v>9.3379194546871352E-2</v>
      </c>
      <c r="D21" s="48"/>
      <c r="E21" s="47">
        <f>'12-PIB-Optimista Base-1982'!E80</f>
        <v>3.3694027049069486E-2</v>
      </c>
      <c r="F21" s="49">
        <f>'12-PIB-Optimista Base-1982'!F80</f>
        <v>4.3569727280804132E-2</v>
      </c>
    </row>
    <row r="22" spans="2:6">
      <c r="B22" s="171" t="s">
        <v>403</v>
      </c>
      <c r="C22" s="44">
        <f>'12-PIB-Optimista Base-1982'!C81</f>
        <v>0.10473418729953418</v>
      </c>
      <c r="D22" s="44">
        <f>'12-PIB-Optimista Base-1982'!D81</f>
        <v>-7.1740322411015481E-2</v>
      </c>
      <c r="E22" s="44">
        <f>'12-PIB-Optimista Base-1982'!E81</f>
        <v>3.2993864888518701E-2</v>
      </c>
      <c r="F22" s="45">
        <f>'12-PIB-Optimista Base-1982'!F81</f>
        <v>4.238053944754467E-2</v>
      </c>
    </row>
    <row r="23" spans="2:6">
      <c r="B23" s="171" t="s">
        <v>638</v>
      </c>
      <c r="C23" s="44">
        <f>'12-PIB-Optimista Base-1982'!C82</f>
        <v>8.3135541785157502E-2</v>
      </c>
      <c r="D23" s="44">
        <f>'12-PIB-Optimista Base-1982'!D82</f>
        <v>-2.7408047291248377E-2</v>
      </c>
      <c r="E23" s="44">
        <f>'12-PIB-Optimista Base-1982'!E82</f>
        <v>5.5727494493909124E-2</v>
      </c>
      <c r="F23" s="45">
        <f>'12-PIB-Optimista Base-1982'!F82</f>
        <v>3.7766667704793505E-2</v>
      </c>
    </row>
    <row r="24" spans="2:6">
      <c r="B24" s="172" t="s">
        <v>641</v>
      </c>
      <c r="C24" s="44">
        <f>'12-PIB-Optimista Base-1982'!C83</f>
        <v>6.2272727272727278E-2</v>
      </c>
      <c r="D24" s="44">
        <f>'12-PIB-Optimista Base-1982'!D83</f>
        <v>-1.400298192870772E-2</v>
      </c>
      <c r="E24" s="44">
        <f>'12-PIB-Optimista Base-1982'!E83</f>
        <v>4.8269745344019559E-2</v>
      </c>
      <c r="F24" s="45">
        <f>'12-PIB-Optimista Base-1982'!F83</f>
        <v>3.412097045003902E-2</v>
      </c>
    </row>
    <row r="25" spans="2:6" ht="12.75" customHeight="1">
      <c r="B25" s="121" t="s">
        <v>190</v>
      </c>
      <c r="C25" s="1168"/>
      <c r="D25" s="1168"/>
      <c r="E25" s="1168"/>
      <c r="F25" s="1169"/>
    </row>
    <row r="26" spans="2:6">
      <c r="B26" s="46">
        <v>2012</v>
      </c>
      <c r="C26" s="47">
        <f>'13-PIB-Pesimista Base-1982'!C80</f>
        <v>9.3379194546871352E-2</v>
      </c>
      <c r="D26" s="48"/>
      <c r="E26" s="47">
        <f>'13-PIB-Pesimista Base-1982'!E80</f>
        <v>3.3694027049069486E-2</v>
      </c>
      <c r="F26" s="49">
        <f>'13-PIB-Pesimista Base-1982'!F80</f>
        <v>4.1191351614285207E-2</v>
      </c>
    </row>
    <row r="27" spans="2:6">
      <c r="B27" s="171" t="s">
        <v>403</v>
      </c>
      <c r="C27" s="44">
        <f>'13-PIB-Pesimista Base-1982'!C81</f>
        <v>0.10473418729953418</v>
      </c>
      <c r="D27" s="44">
        <f>'13-PIB-Pesimista Base-1982'!D81</f>
        <v>-7.1740322411015481E-2</v>
      </c>
      <c r="E27" s="44">
        <f>'13-PIB-Pesimista Base-1982'!E81</f>
        <v>3.2993864888518701E-2</v>
      </c>
      <c r="F27" s="45">
        <f>'13-PIB-Pesimista Base-1982'!F81</f>
        <v>4.238053944754467E-2</v>
      </c>
    </row>
    <row r="28" spans="2:6">
      <c r="B28" s="171" t="s">
        <v>638</v>
      </c>
      <c r="C28" s="44">
        <f>'13-PIB-Pesimista Base-1982'!C82</f>
        <v>3.9481314276361708E-2</v>
      </c>
      <c r="D28" s="44">
        <f>'13-PIB-Pesimista Base-1982'!D82</f>
        <v>-8.9815460440142471E-3</v>
      </c>
      <c r="E28" s="44">
        <f>'13-PIB-Pesimista Base-1982'!E82</f>
        <v>3.0499768232347461E-2</v>
      </c>
      <c r="F28" s="45">
        <f>'13-PIB-Pesimista Base-1982'!F82</f>
        <v>3.9739440164602229E-2</v>
      </c>
    </row>
    <row r="29" spans="2:6" ht="13.5" thickBot="1">
      <c r="B29" s="169" t="s">
        <v>641</v>
      </c>
      <c r="C29" s="167">
        <f>'13-PIB-Pesimista Base-1982'!C83</f>
        <v>3.6136363636363626E-2</v>
      </c>
      <c r="D29" s="167">
        <f>'13-PIB-Pesimista Base-1982'!D83</f>
        <v>-3.5925875349423486E-3</v>
      </c>
      <c r="E29" s="167">
        <f>'13-PIB-Pesimista Base-1982'!E83</f>
        <v>3.2543776101421278E-2</v>
      </c>
      <c r="F29" s="168">
        <f>'13-PIB-Pesimista Base-1982'!F83</f>
        <v>3.8849498269389264E-2</v>
      </c>
    </row>
  </sheetData>
  <mergeCells count="3">
    <mergeCell ref="D7:D8"/>
    <mergeCell ref="E7:F7"/>
    <mergeCell ref="B3:F4"/>
  </mergeCells>
  <phoneticPr fontId="0" type="noConversion"/>
  <pageMargins left="0.75" right="0.75" top="1" bottom="1" header="0" footer="0"/>
  <pageSetup orientation="portrait"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N90"/>
  <sheetViews>
    <sheetView topLeftCell="A19" workbookViewId="0">
      <selection activeCell="G8" sqref="G8"/>
    </sheetView>
  </sheetViews>
  <sheetFormatPr baseColWidth="10" defaultRowHeight="12.75"/>
  <cols>
    <col min="1" max="1" width="11.42578125" style="238"/>
    <col min="2" max="2" width="7.85546875" style="238" customWidth="1"/>
    <col min="3" max="3" width="8.7109375" style="238" customWidth="1"/>
    <col min="4" max="4" width="9.140625" style="238" customWidth="1"/>
    <col min="5" max="5" width="8.140625" style="761" customWidth="1"/>
    <col min="6" max="6" width="8" style="761" customWidth="1"/>
    <col min="7" max="7" width="8.140625" style="238" customWidth="1"/>
    <col min="8" max="8" width="6.7109375" style="238" hidden="1" customWidth="1"/>
    <col min="9" max="16384" width="11.42578125" style="238"/>
  </cols>
  <sheetData>
    <row r="1" spans="1:8" ht="15.75">
      <c r="A1" s="266" t="s">
        <v>365</v>
      </c>
    </row>
    <row r="2" spans="1:8" ht="16.5" thickBot="1">
      <c r="A2" s="266" t="s">
        <v>115</v>
      </c>
    </row>
    <row r="3" spans="1:8">
      <c r="A3" s="762"/>
      <c r="B3" s="1170" t="s">
        <v>116</v>
      </c>
      <c r="C3" s="763"/>
      <c r="D3" s="1170" t="s">
        <v>117</v>
      </c>
      <c r="E3" s="764"/>
      <c r="F3" s="764"/>
      <c r="G3" s="765"/>
    </row>
    <row r="4" spans="1:8">
      <c r="A4" s="449"/>
      <c r="B4" s="766"/>
      <c r="C4" s="1171" t="s">
        <v>120</v>
      </c>
      <c r="D4" s="1172"/>
      <c r="E4" s="1172" t="s">
        <v>118</v>
      </c>
      <c r="F4" s="1172" t="s">
        <v>119</v>
      </c>
      <c r="G4" s="768"/>
    </row>
    <row r="5" spans="1:8">
      <c r="A5" s="449">
        <v>1970</v>
      </c>
      <c r="B5" s="767">
        <v>65.599999999999994</v>
      </c>
      <c r="D5" s="767">
        <v>801.7</v>
      </c>
      <c r="E5" s="769">
        <f>FORECAST(A5,$B$5:$B$45,$A$5:$A$45)</f>
        <v>65.289838435164455</v>
      </c>
      <c r="F5" s="770">
        <f t="shared" ref="F5:F43" si="0">+E5-B5</f>
        <v>-0.31016156483553914</v>
      </c>
      <c r="G5" s="85">
        <f>+F5/B5</f>
        <v>-4.728072634688097E-3</v>
      </c>
      <c r="H5" s="11">
        <f>(0.0062*D5)^2 - 0.1524*D5 + 67.137</f>
        <v>-30.33581210840002</v>
      </c>
    </row>
    <row r="6" spans="1:8">
      <c r="A6" s="449">
        <f t="shared" ref="A6:A47" si="1">+A5+1</f>
        <v>1971</v>
      </c>
      <c r="B6" s="767">
        <v>65.7</v>
      </c>
      <c r="C6" s="21">
        <f>(B6-B5)/B5</f>
        <v>1.5243902439025692E-3</v>
      </c>
      <c r="D6" s="767">
        <v>859.4</v>
      </c>
      <c r="E6" s="769">
        <f t="shared" ref="E6:E45" si="2">FORECAST(A6,$B$5:$B$45,$A$5:$A$45)</f>
        <v>65.41020069404712</v>
      </c>
      <c r="F6" s="770">
        <f t="shared" si="0"/>
        <v>-0.28979930595288295</v>
      </c>
      <c r="G6" s="85">
        <f>+F6/B6</f>
        <v>-4.4109483402265288E-3</v>
      </c>
      <c r="H6" s="7"/>
    </row>
    <row r="7" spans="1:8">
      <c r="A7" s="449">
        <f t="shared" si="1"/>
        <v>1972</v>
      </c>
      <c r="B7" s="767">
        <v>65.8</v>
      </c>
      <c r="C7" s="21">
        <f t="shared" ref="C7:C41" si="3">(B7-B6)/B6</f>
        <v>1.5220700152206135E-3</v>
      </c>
      <c r="D7" s="767">
        <v>980.4</v>
      </c>
      <c r="E7" s="769">
        <f t="shared" si="2"/>
        <v>65.530562952929813</v>
      </c>
      <c r="F7" s="770">
        <f t="shared" si="0"/>
        <v>-0.26943704707018412</v>
      </c>
      <c r="G7" s="85">
        <f t="shared" ref="G7:G41" si="4">+F7/B7</f>
        <v>-4.0947879493948959E-3</v>
      </c>
      <c r="H7" s="7"/>
    </row>
    <row r="8" spans="1:8">
      <c r="A8" s="449">
        <f t="shared" si="1"/>
        <v>1973</v>
      </c>
      <c r="B8" s="767">
        <v>67.400000000000006</v>
      </c>
      <c r="C8" s="21">
        <f t="shared" si="3"/>
        <v>2.4316109422492533E-2</v>
      </c>
      <c r="D8" s="767">
        <v>1139.9000000000001</v>
      </c>
      <c r="E8" s="769">
        <f t="shared" si="2"/>
        <v>65.650925211812506</v>
      </c>
      <c r="F8" s="770">
        <f t="shared" si="0"/>
        <v>-1.7490747881874995</v>
      </c>
      <c r="G8" s="85">
        <f t="shared" si="4"/>
        <v>-2.5950664513167646E-2</v>
      </c>
      <c r="H8" s="7"/>
    </row>
    <row r="9" spans="1:8">
      <c r="A9" s="449">
        <f t="shared" si="1"/>
        <v>1974</v>
      </c>
      <c r="B9" s="767">
        <v>67.900000000000006</v>
      </c>
      <c r="C9" s="21">
        <f t="shared" si="3"/>
        <v>7.418397626112759E-3</v>
      </c>
      <c r="D9" s="767">
        <v>1148</v>
      </c>
      <c r="E9" s="769">
        <f t="shared" si="2"/>
        <v>65.771287470695171</v>
      </c>
      <c r="F9" s="770">
        <f t="shared" si="0"/>
        <v>-2.1287125293048348</v>
      </c>
      <c r="G9" s="85">
        <f t="shared" si="4"/>
        <v>-3.1350699989761921E-2</v>
      </c>
      <c r="H9" s="7"/>
    </row>
    <row r="10" spans="1:8">
      <c r="A10" s="449">
        <f t="shared" si="1"/>
        <v>1975</v>
      </c>
      <c r="B10" s="767">
        <v>68.8</v>
      </c>
      <c r="C10" s="21">
        <f t="shared" si="3"/>
        <v>1.3254786450662612E-2</v>
      </c>
      <c r="D10" s="767">
        <v>1214.3</v>
      </c>
      <c r="E10" s="769">
        <f t="shared" si="2"/>
        <v>65.891649729577864</v>
      </c>
      <c r="F10" s="770">
        <f t="shared" si="0"/>
        <v>-2.9083502704221331</v>
      </c>
      <c r="G10" s="85">
        <f t="shared" si="4"/>
        <v>-4.2272533000321702E-2</v>
      </c>
      <c r="H10" s="7"/>
    </row>
    <row r="11" spans="1:8">
      <c r="A11" s="449">
        <f t="shared" si="1"/>
        <v>1976</v>
      </c>
      <c r="B11" s="767">
        <v>66.2</v>
      </c>
      <c r="C11" s="21">
        <f t="shared" si="3"/>
        <v>-3.7790697674418526E-2</v>
      </c>
      <c r="D11" s="767">
        <v>1348.7</v>
      </c>
      <c r="E11" s="769">
        <f t="shared" si="2"/>
        <v>66.012011988460557</v>
      </c>
      <c r="F11" s="770">
        <f t="shared" si="0"/>
        <v>-0.18798801153944567</v>
      </c>
      <c r="G11" s="85">
        <f>+F11/B11</f>
        <v>-2.8396980595082424E-3</v>
      </c>
      <c r="H11" s="7"/>
    </row>
    <row r="12" spans="1:8">
      <c r="A12" s="449">
        <f t="shared" si="1"/>
        <v>1977</v>
      </c>
      <c r="B12" s="767">
        <v>68.900000000000006</v>
      </c>
      <c r="C12" s="21">
        <f t="shared" si="3"/>
        <v>4.0785498489426024E-2</v>
      </c>
      <c r="D12" s="767">
        <v>1450.3</v>
      </c>
      <c r="E12" s="769">
        <f t="shared" si="2"/>
        <v>66.132374247343222</v>
      </c>
      <c r="F12" s="770">
        <f t="shared" si="0"/>
        <v>-2.7676257526567838</v>
      </c>
      <c r="G12" s="85">
        <f>+F12/B12</f>
        <v>-4.0168733710548382E-2</v>
      </c>
      <c r="H12" s="7"/>
    </row>
    <row r="13" spans="1:8">
      <c r="A13" s="449">
        <f t="shared" si="1"/>
        <v>1978</v>
      </c>
      <c r="B13" s="767">
        <v>64.5</v>
      </c>
      <c r="C13" s="21">
        <f t="shared" si="3"/>
        <v>-6.3860667634252619E-2</v>
      </c>
      <c r="D13" s="767">
        <v>1469.1</v>
      </c>
      <c r="E13" s="769">
        <f t="shared" si="2"/>
        <v>66.252736506225915</v>
      </c>
      <c r="F13" s="770">
        <f t="shared" si="0"/>
        <v>1.752736506225915</v>
      </c>
      <c r="G13" s="85">
        <f t="shared" si="4"/>
        <v>2.7174209398851398E-2</v>
      </c>
      <c r="H13" s="7"/>
    </row>
    <row r="14" spans="1:8">
      <c r="A14" s="449">
        <f t="shared" si="1"/>
        <v>1979</v>
      </c>
      <c r="B14" s="767">
        <v>68.5</v>
      </c>
      <c r="C14" s="21">
        <f t="shared" si="3"/>
        <v>6.2015503875968991E-2</v>
      </c>
      <c r="D14" s="767">
        <v>1724</v>
      </c>
      <c r="E14" s="769">
        <f t="shared" si="2"/>
        <v>66.373098765108608</v>
      </c>
      <c r="F14" s="770">
        <f t="shared" si="0"/>
        <v>-2.1269012348913918</v>
      </c>
      <c r="G14" s="85">
        <f t="shared" si="4"/>
        <v>-3.104965306410791E-2</v>
      </c>
      <c r="H14" s="7"/>
    </row>
    <row r="15" spans="1:8">
      <c r="A15" s="449">
        <f t="shared" si="1"/>
        <v>1980</v>
      </c>
      <c r="B15" s="767">
        <v>65.5</v>
      </c>
      <c r="C15" s="21">
        <f t="shared" si="3"/>
        <v>-4.3795620437956206E-2</v>
      </c>
      <c r="D15" s="767">
        <v>1756.5</v>
      </c>
      <c r="E15" s="769">
        <f t="shared" si="2"/>
        <v>66.493461023991273</v>
      </c>
      <c r="F15" s="770">
        <f t="shared" si="0"/>
        <v>0.9934610239912729</v>
      </c>
      <c r="G15" s="85">
        <f t="shared" si="4"/>
        <v>1.5167343877729358E-2</v>
      </c>
      <c r="H15" s="7"/>
    </row>
    <row r="16" spans="1:8">
      <c r="A16" s="449">
        <f t="shared" si="1"/>
        <v>1981</v>
      </c>
      <c r="B16" s="767">
        <v>66.5</v>
      </c>
      <c r="C16" s="21">
        <f t="shared" si="3"/>
        <v>1.5267175572519083E-2</v>
      </c>
      <c r="D16" s="767">
        <v>1863.5</v>
      </c>
      <c r="E16" s="769">
        <f t="shared" si="2"/>
        <v>66.613823282873966</v>
      </c>
      <c r="F16" s="770">
        <f t="shared" si="0"/>
        <v>0.11382328287396604</v>
      </c>
      <c r="G16" s="85">
        <f>+F16/B16</f>
        <v>1.7116283138942261E-3</v>
      </c>
      <c r="H16" s="7"/>
    </row>
    <row r="17" spans="1:12">
      <c r="A17" s="449">
        <f t="shared" si="1"/>
        <v>1982</v>
      </c>
      <c r="B17" s="767">
        <v>63.9</v>
      </c>
      <c r="C17" s="21">
        <f t="shared" si="3"/>
        <v>-3.9097744360902277E-2</v>
      </c>
      <c r="D17" s="767">
        <v>2030.5</v>
      </c>
      <c r="E17" s="769">
        <f t="shared" si="2"/>
        <v>66.734185541756631</v>
      </c>
      <c r="F17" s="770">
        <f t="shared" si="0"/>
        <v>2.8341855417566322</v>
      </c>
      <c r="G17" s="85">
        <f>+F17/B17</f>
        <v>4.4353451357693773E-2</v>
      </c>
      <c r="H17" s="7"/>
    </row>
    <row r="18" spans="1:12">
      <c r="A18" s="449">
        <f t="shared" si="1"/>
        <v>1983</v>
      </c>
      <c r="B18" s="767">
        <v>66.8</v>
      </c>
      <c r="C18" s="21">
        <f t="shared" si="3"/>
        <v>4.5383411580594661E-2</v>
      </c>
      <c r="D18" s="767">
        <v>2193.5</v>
      </c>
      <c r="E18" s="769">
        <f t="shared" si="2"/>
        <v>66.854547800639324</v>
      </c>
      <c r="F18" s="770">
        <f t="shared" si="0"/>
        <v>5.4547800639326738E-2</v>
      </c>
      <c r="G18" s="85">
        <f t="shared" si="4"/>
        <v>8.1658384190608896E-4</v>
      </c>
      <c r="H18" s="7"/>
    </row>
    <row r="19" spans="1:12">
      <c r="A19" s="449">
        <f t="shared" si="1"/>
        <v>1984</v>
      </c>
      <c r="B19" s="767">
        <v>65.7</v>
      </c>
      <c r="C19" s="21">
        <f t="shared" si="3"/>
        <v>-1.6467065868263388E-2</v>
      </c>
      <c r="D19" s="767">
        <v>2225.9</v>
      </c>
      <c r="E19" s="769">
        <f t="shared" si="2"/>
        <v>66.974910059522017</v>
      </c>
      <c r="F19" s="770">
        <f t="shared" si="0"/>
        <v>1.2749100595220142</v>
      </c>
      <c r="G19" s="85">
        <f t="shared" si="4"/>
        <v>1.9405023737016958E-2</v>
      </c>
      <c r="H19" s="7"/>
    </row>
    <row r="20" spans="1:12">
      <c r="A20" s="449">
        <f t="shared" si="1"/>
        <v>1985</v>
      </c>
      <c r="B20" s="767">
        <v>64.900000000000006</v>
      </c>
      <c r="C20" s="21">
        <f t="shared" si="3"/>
        <v>-1.2176560121765557E-2</v>
      </c>
      <c r="D20" s="767">
        <v>2412.9</v>
      </c>
      <c r="E20" s="769">
        <f t="shared" si="2"/>
        <v>67.095272318404682</v>
      </c>
      <c r="F20" s="770">
        <f t="shared" si="0"/>
        <v>2.1952723184046761</v>
      </c>
      <c r="G20" s="85">
        <f t="shared" si="4"/>
        <v>3.3825459451535839E-2</v>
      </c>
      <c r="H20" s="7"/>
    </row>
    <row r="21" spans="1:12">
      <c r="A21" s="449">
        <f t="shared" si="1"/>
        <v>1986</v>
      </c>
      <c r="B21" s="767">
        <v>67.900000000000006</v>
      </c>
      <c r="C21" s="21">
        <f t="shared" si="3"/>
        <v>4.6224961479198766E-2</v>
      </c>
      <c r="D21" s="767">
        <v>2565.6999999999998</v>
      </c>
      <c r="E21" s="769">
        <f t="shared" si="2"/>
        <v>67.215634577287375</v>
      </c>
      <c r="F21" s="770">
        <f t="shared" si="0"/>
        <v>-0.68436542271263079</v>
      </c>
      <c r="G21" s="85">
        <f>+F21/B21</f>
        <v>-1.007901948030384E-2</v>
      </c>
      <c r="H21" s="7"/>
    </row>
    <row r="22" spans="1:12">
      <c r="A22" s="449">
        <f t="shared" si="1"/>
        <v>1987</v>
      </c>
      <c r="B22" s="767">
        <v>66.099999999999994</v>
      </c>
      <c r="C22" s="21">
        <f t="shared" si="3"/>
        <v>-2.6509572901325645E-2</v>
      </c>
      <c r="D22" s="767">
        <v>2748.3</v>
      </c>
      <c r="E22" s="769">
        <f t="shared" si="2"/>
        <v>67.335996836170068</v>
      </c>
      <c r="F22" s="770">
        <f t="shared" si="0"/>
        <v>1.2359968361700737</v>
      </c>
      <c r="G22" s="85">
        <f t="shared" si="4"/>
        <v>1.8698893134191739E-2</v>
      </c>
      <c r="H22" s="7"/>
    </row>
    <row r="23" spans="1:12">
      <c r="A23" s="449">
        <f t="shared" si="1"/>
        <v>1988</v>
      </c>
      <c r="B23" s="767">
        <v>62.4</v>
      </c>
      <c r="C23" s="21">
        <f t="shared" si="3"/>
        <v>-5.5975794251134588E-2</v>
      </c>
      <c r="D23" s="767">
        <v>2579.9</v>
      </c>
      <c r="E23" s="769">
        <f t="shared" si="2"/>
        <v>67.456359095052733</v>
      </c>
      <c r="F23" s="770">
        <f t="shared" si="0"/>
        <v>5.0563590950527342</v>
      </c>
      <c r="G23" s="85">
        <f t="shared" si="4"/>
        <v>8.1031395754050231E-2</v>
      </c>
      <c r="H23" s="7"/>
    </row>
    <row r="24" spans="1:12">
      <c r="A24" s="449">
        <f t="shared" si="1"/>
        <v>1989</v>
      </c>
      <c r="B24" s="767">
        <v>67.2</v>
      </c>
      <c r="C24" s="21">
        <f t="shared" si="3"/>
        <v>7.6923076923076997E-2</v>
      </c>
      <c r="D24" s="767">
        <v>2624.7</v>
      </c>
      <c r="E24" s="769">
        <f t="shared" si="2"/>
        <v>67.576721353935426</v>
      </c>
      <c r="F24" s="770">
        <f t="shared" si="0"/>
        <v>0.37672135393542305</v>
      </c>
      <c r="G24" s="85">
        <f t="shared" si="4"/>
        <v>5.6059725288009378E-3</v>
      </c>
      <c r="H24" s="7"/>
    </row>
    <row r="25" spans="1:12">
      <c r="A25" s="449">
        <f t="shared" si="1"/>
        <v>1990</v>
      </c>
      <c r="B25" s="767">
        <v>67.5</v>
      </c>
      <c r="C25" s="21">
        <f t="shared" si="3"/>
        <v>4.4642857142856715E-3</v>
      </c>
      <c r="D25" s="767">
        <v>2746.1</v>
      </c>
      <c r="E25" s="769">
        <f t="shared" si="2"/>
        <v>67.697083612818091</v>
      </c>
      <c r="F25" s="770">
        <f t="shared" si="0"/>
        <v>0.19708361281809061</v>
      </c>
      <c r="G25" s="85">
        <f t="shared" si="4"/>
        <v>2.9197572269346757E-3</v>
      </c>
      <c r="H25" s="7"/>
    </row>
    <row r="26" spans="1:12">
      <c r="A26" s="449">
        <f t="shared" si="1"/>
        <v>1991</v>
      </c>
      <c r="B26" s="767">
        <v>67.7</v>
      </c>
      <c r="C26" s="21">
        <f t="shared" si="3"/>
        <v>2.9629629629630049E-3</v>
      </c>
      <c r="D26" s="767">
        <v>2896.6</v>
      </c>
      <c r="E26" s="769">
        <f t="shared" si="2"/>
        <v>67.817445871700784</v>
      </c>
      <c r="F26" s="770">
        <f t="shared" si="0"/>
        <v>0.11744587170078091</v>
      </c>
      <c r="G26" s="85">
        <f t="shared" si="4"/>
        <v>1.7347986957279306E-3</v>
      </c>
      <c r="H26" s="7"/>
      <c r="J26" s="992"/>
      <c r="K26" s="992"/>
      <c r="L26" s="992"/>
    </row>
    <row r="27" spans="1:12">
      <c r="A27" s="449">
        <f t="shared" si="1"/>
        <v>1992</v>
      </c>
      <c r="B27" s="767">
        <v>66.2</v>
      </c>
      <c r="C27" s="21">
        <f t="shared" si="3"/>
        <v>-2.2156573116691284E-2</v>
      </c>
      <c r="D27" s="767">
        <v>3011.6</v>
      </c>
      <c r="E27" s="769">
        <f t="shared" si="2"/>
        <v>67.937808130583477</v>
      </c>
      <c r="F27" s="770">
        <f t="shared" si="0"/>
        <v>1.7378081305834741</v>
      </c>
      <c r="G27" s="85">
        <f t="shared" si="4"/>
        <v>2.6250878105490545E-2</v>
      </c>
      <c r="H27" s="7"/>
    </row>
    <row r="28" spans="1:12">
      <c r="A28" s="449">
        <f t="shared" si="1"/>
        <v>1993</v>
      </c>
      <c r="B28" s="767">
        <v>67.5</v>
      </c>
      <c r="C28" s="21">
        <f t="shared" si="3"/>
        <v>1.9637462235649505E-2</v>
      </c>
      <c r="D28" s="767">
        <v>3199.1</v>
      </c>
      <c r="E28" s="769">
        <f t="shared" si="2"/>
        <v>68.058170389466142</v>
      </c>
      <c r="F28" s="770">
        <f t="shared" si="0"/>
        <v>0.55817038946614161</v>
      </c>
      <c r="G28" s="85">
        <f t="shared" si="4"/>
        <v>8.26919095505395E-3</v>
      </c>
      <c r="H28" s="7"/>
    </row>
    <row r="29" spans="1:12">
      <c r="A29" s="449">
        <f t="shared" si="1"/>
        <v>1994</v>
      </c>
      <c r="B29" s="767">
        <v>65.599999999999994</v>
      </c>
      <c r="C29" s="21">
        <f t="shared" si="3"/>
        <v>-2.8148148148148231E-2</v>
      </c>
      <c r="D29" s="767">
        <v>3400</v>
      </c>
      <c r="E29" s="769">
        <f t="shared" si="2"/>
        <v>68.178532648348835</v>
      </c>
      <c r="F29" s="770">
        <f t="shared" si="0"/>
        <v>2.5785326483488404</v>
      </c>
      <c r="G29" s="85">
        <f t="shared" si="4"/>
        <v>3.9306900127268909E-2</v>
      </c>
      <c r="H29" s="7"/>
    </row>
    <row r="30" spans="1:12">
      <c r="A30" s="449">
        <f t="shared" si="1"/>
        <v>1995</v>
      </c>
      <c r="B30" s="767">
        <v>66.7</v>
      </c>
      <c r="C30" s="21">
        <f t="shared" si="3"/>
        <v>1.6768292682926962E-2</v>
      </c>
      <c r="D30" s="767">
        <v>3619.4</v>
      </c>
      <c r="E30" s="769">
        <f t="shared" si="2"/>
        <v>68.298894907231528</v>
      </c>
      <c r="F30" s="770">
        <f t="shared" si="0"/>
        <v>1.5988949072315251</v>
      </c>
      <c r="G30" s="85">
        <f t="shared" si="4"/>
        <v>2.3971437889528109E-2</v>
      </c>
      <c r="H30" s="7"/>
    </row>
    <row r="31" spans="1:12">
      <c r="A31" s="449">
        <f t="shared" si="1"/>
        <v>1996</v>
      </c>
      <c r="B31" s="767">
        <v>67.5</v>
      </c>
      <c r="C31" s="21">
        <f t="shared" si="3"/>
        <v>1.1994002998500706E-2</v>
      </c>
      <c r="D31" s="767">
        <v>3795.8</v>
      </c>
      <c r="E31" s="769">
        <f t="shared" si="2"/>
        <v>68.419257166114193</v>
      </c>
      <c r="F31" s="770">
        <f t="shared" si="0"/>
        <v>0.91925716611419261</v>
      </c>
      <c r="G31" s="85">
        <f>+F31/B31</f>
        <v>1.3618624683173224E-2</v>
      </c>
      <c r="H31" s="7"/>
    </row>
    <row r="32" spans="1:12">
      <c r="A32" s="449">
        <f t="shared" si="1"/>
        <v>1997</v>
      </c>
      <c r="B32" s="767">
        <v>68.7</v>
      </c>
      <c r="C32" s="21">
        <f t="shared" si="3"/>
        <v>1.7777777777777819E-2</v>
      </c>
      <c r="D32" s="767">
        <v>4254.3999999999996</v>
      </c>
      <c r="E32" s="769">
        <f t="shared" si="2"/>
        <v>68.539619424996886</v>
      </c>
      <c r="F32" s="770">
        <f t="shared" si="0"/>
        <v>-0.16038057500311709</v>
      </c>
      <c r="G32" s="85">
        <f t="shared" si="4"/>
        <v>-2.334506186362694E-3</v>
      </c>
      <c r="H32" s="7"/>
    </row>
    <row r="33" spans="1:8">
      <c r="A33" s="449">
        <f t="shared" si="1"/>
        <v>1998</v>
      </c>
      <c r="B33" s="767">
        <v>67.5</v>
      </c>
      <c r="C33" s="21">
        <f t="shared" si="3"/>
        <v>-1.7467248908296984E-2</v>
      </c>
      <c r="D33" s="767">
        <v>4295.8</v>
      </c>
      <c r="E33" s="769">
        <f t="shared" si="2"/>
        <v>68.659981683879579</v>
      </c>
      <c r="F33" s="770">
        <f t="shared" si="0"/>
        <v>1.1599816838795789</v>
      </c>
      <c r="G33" s="85">
        <f t="shared" si="4"/>
        <v>1.7184913835253019E-2</v>
      </c>
      <c r="H33" s="7"/>
    </row>
    <row r="34" spans="1:8">
      <c r="A34" s="449">
        <f t="shared" si="1"/>
        <v>1999</v>
      </c>
      <c r="B34" s="767">
        <v>67.7</v>
      </c>
      <c r="C34" s="21">
        <f t="shared" si="3"/>
        <v>2.9629629629630049E-3</v>
      </c>
      <c r="D34" s="767">
        <v>4474.5</v>
      </c>
      <c r="E34" s="769">
        <f t="shared" si="2"/>
        <v>68.780343942762244</v>
      </c>
      <c r="F34" s="770">
        <f t="shared" si="0"/>
        <v>1.0803439427622408</v>
      </c>
      <c r="G34" s="85">
        <f>+F34/B34</f>
        <v>1.5957813039324087E-2</v>
      </c>
      <c r="H34" s="7"/>
    </row>
    <row r="35" spans="1:8">
      <c r="A35" s="449">
        <f t="shared" si="1"/>
        <v>2000</v>
      </c>
      <c r="B35" s="767">
        <v>73</v>
      </c>
      <c r="C35" s="21">
        <f t="shared" si="3"/>
        <v>7.8286558345642493E-2</v>
      </c>
      <c r="D35" s="767">
        <v>4967.5</v>
      </c>
      <c r="E35" s="769">
        <f t="shared" si="2"/>
        <v>68.900706201644937</v>
      </c>
      <c r="F35" s="770">
        <f t="shared" si="0"/>
        <v>-4.0992937983550632</v>
      </c>
      <c r="G35" s="85">
        <f t="shared" si="4"/>
        <v>-5.6154709566507713E-2</v>
      </c>
      <c r="H35" s="7"/>
    </row>
    <row r="36" spans="1:8">
      <c r="A36" s="449">
        <f t="shared" si="1"/>
        <v>2001</v>
      </c>
      <c r="B36" s="767">
        <v>69.920965353748414</v>
      </c>
      <c r="C36" s="21">
        <f t="shared" si="3"/>
        <v>-4.2178556797966928E-2</v>
      </c>
      <c r="D36" s="767">
        <v>4999.8999999999996</v>
      </c>
      <c r="E36" s="769">
        <f t="shared" si="2"/>
        <v>69.021068460527601</v>
      </c>
      <c r="F36" s="770">
        <f t="shared" si="0"/>
        <v>-0.8998968932208129</v>
      </c>
      <c r="G36" s="85">
        <f t="shared" si="4"/>
        <v>-1.2870201214585634E-2</v>
      </c>
      <c r="H36" s="7"/>
    </row>
    <row r="37" spans="1:8">
      <c r="A37" s="449">
        <f t="shared" si="1"/>
        <v>2002</v>
      </c>
      <c r="B37" s="767">
        <v>71.483243978251636</v>
      </c>
      <c r="C37" s="21">
        <f t="shared" si="3"/>
        <v>2.2343493351375317E-2</v>
      </c>
      <c r="D37" s="767">
        <v>5221.7</v>
      </c>
      <c r="E37" s="769">
        <f t="shared" si="2"/>
        <v>69.141430719410295</v>
      </c>
      <c r="F37" s="770">
        <f t="shared" si="0"/>
        <v>-2.3418132588413414</v>
      </c>
      <c r="G37" s="85">
        <f t="shared" si="4"/>
        <v>-3.2760310368032883E-2</v>
      </c>
      <c r="H37" s="7"/>
    </row>
    <row r="38" spans="1:8">
      <c r="A38" s="449">
        <f t="shared" si="1"/>
        <v>2003</v>
      </c>
      <c r="B38" s="767">
        <v>70.767195556944429</v>
      </c>
      <c r="C38" s="21">
        <f t="shared" si="3"/>
        <v>-1.0017010721072764E-2</v>
      </c>
      <c r="D38" s="767">
        <v>5342.6</v>
      </c>
      <c r="E38" s="769">
        <f t="shared" si="2"/>
        <v>69.261792978292988</v>
      </c>
      <c r="F38" s="770">
        <f t="shared" si="0"/>
        <v>-1.5054025786514416</v>
      </c>
      <c r="G38" s="85">
        <f>+F38/B38</f>
        <v>-2.1272604726014402E-2</v>
      </c>
      <c r="H38" s="7"/>
    </row>
    <row r="39" spans="1:8">
      <c r="A39" s="449">
        <f t="shared" si="1"/>
        <v>2004</v>
      </c>
      <c r="B39" s="767">
        <v>70.438263308773116</v>
      </c>
      <c r="C39" s="21">
        <f t="shared" si="3"/>
        <v>-4.6480893524546985E-3</v>
      </c>
      <c r="D39" s="767">
        <v>5571</v>
      </c>
      <c r="E39" s="769">
        <f t="shared" si="2"/>
        <v>69.382155237175652</v>
      </c>
      <c r="F39" s="770">
        <f t="shared" si="0"/>
        <v>-1.056108071597464</v>
      </c>
      <c r="G39" s="85">
        <f t="shared" si="4"/>
        <v>-1.4993386009077332E-2</v>
      </c>
      <c r="H39" s="7"/>
    </row>
    <row r="40" spans="1:8">
      <c r="A40" s="449">
        <f t="shared" si="1"/>
        <v>2005</v>
      </c>
      <c r="B40" s="767">
        <v>70.612897696142625</v>
      </c>
      <c r="C40" s="21">
        <f t="shared" si="3"/>
        <v>2.4792545864451686E-3</v>
      </c>
      <c r="D40" s="767">
        <v>5711</v>
      </c>
      <c r="E40" s="769">
        <f t="shared" si="2"/>
        <v>69.502517496058346</v>
      </c>
      <c r="F40" s="770">
        <f t="shared" si="0"/>
        <v>-1.1103802000842791</v>
      </c>
      <c r="G40" s="85">
        <f>+F40/B40</f>
        <v>-1.5724892141693484E-2</v>
      </c>
      <c r="H40" s="7"/>
    </row>
    <row r="41" spans="1:8">
      <c r="A41" s="449">
        <f t="shared" si="1"/>
        <v>2006</v>
      </c>
      <c r="B41" s="767">
        <v>70.526411745929423</v>
      </c>
      <c r="C41" s="21">
        <f t="shared" si="3"/>
        <v>-1.2247897060585649E-3</v>
      </c>
      <c r="D41" s="767">
        <v>5861.3</v>
      </c>
      <c r="E41" s="769">
        <f t="shared" si="2"/>
        <v>69.622879754941039</v>
      </c>
      <c r="F41" s="770">
        <f t="shared" si="0"/>
        <v>-0.90353199098838388</v>
      </c>
      <c r="G41" s="85">
        <f t="shared" si="4"/>
        <v>-1.2811257068392298E-2</v>
      </c>
      <c r="H41" s="7"/>
    </row>
    <row r="42" spans="1:8">
      <c r="A42" s="449">
        <f t="shared" si="1"/>
        <v>2007</v>
      </c>
      <c r="B42" s="767">
        <v>70.779037257351973</v>
      </c>
      <c r="C42" s="21">
        <f>(B42-B41)/B41</f>
        <v>3.5819986465869141E-3</v>
      </c>
      <c r="D42" s="771">
        <v>6208.8</v>
      </c>
      <c r="E42" s="769">
        <f t="shared" si="2"/>
        <v>69.743242013823703</v>
      </c>
      <c r="F42" s="770">
        <f t="shared" si="0"/>
        <v>-1.0357952435282698</v>
      </c>
      <c r="G42" s="85">
        <f>+F42/B42</f>
        <v>-1.4634209275298944E-2</v>
      </c>
      <c r="H42" s="7"/>
    </row>
    <row r="43" spans="1:8">
      <c r="A43" s="449">
        <f t="shared" si="1"/>
        <v>2008</v>
      </c>
      <c r="B43" s="771">
        <v>70.626407933195551</v>
      </c>
      <c r="C43" s="21">
        <f t="shared" ref="C43:C45" si="5">(B43-B42)/B42</f>
        <v>-2.1564198959285489E-3</v>
      </c>
      <c r="D43" s="771">
        <v>6386.4</v>
      </c>
      <c r="E43" s="769">
        <f t="shared" si="2"/>
        <v>69.863604272706397</v>
      </c>
      <c r="F43" s="770">
        <f t="shared" si="0"/>
        <v>-0.76280366048915482</v>
      </c>
      <c r="G43" s="85">
        <f t="shared" ref="G43:G47" si="6">+F43/B43</f>
        <v>-1.0800544482039626E-2</v>
      </c>
      <c r="H43" s="7"/>
    </row>
    <row r="44" spans="1:8">
      <c r="A44" s="449">
        <f t="shared" si="1"/>
        <v>2009</v>
      </c>
      <c r="B44" s="771">
        <v>68.714544660353766</v>
      </c>
      <c r="C44" s="21">
        <f t="shared" si="5"/>
        <v>-2.7070090760529512E-2</v>
      </c>
      <c r="D44" s="771">
        <v>6753.7</v>
      </c>
      <c r="E44" s="769">
        <f t="shared" si="2"/>
        <v>69.983966531589061</v>
      </c>
      <c r="F44" s="770">
        <f>+E44-B44</f>
        <v>1.2694218712352949</v>
      </c>
      <c r="G44" s="85">
        <f t="shared" si="6"/>
        <v>1.8473845348315511E-2</v>
      </c>
      <c r="H44" s="7"/>
    </row>
    <row r="45" spans="1:8">
      <c r="A45" s="449">
        <f t="shared" si="1"/>
        <v>2010</v>
      </c>
      <c r="B45" s="771">
        <v>69.911460634850499</v>
      </c>
      <c r="C45" s="21">
        <f t="shared" si="5"/>
        <v>1.7418669954271233E-2</v>
      </c>
      <c r="D45" s="771">
        <v>7299.45</v>
      </c>
      <c r="E45" s="769">
        <f t="shared" si="2"/>
        <v>70.104328790471754</v>
      </c>
      <c r="F45" s="770">
        <f>+E45-B45</f>
        <v>0.19286815562125526</v>
      </c>
      <c r="G45" s="85">
        <f t="shared" si="6"/>
        <v>2.7587487640776238E-3</v>
      </c>
      <c r="H45" s="7"/>
    </row>
    <row r="46" spans="1:8">
      <c r="A46" s="449">
        <f t="shared" si="1"/>
        <v>2011</v>
      </c>
      <c r="B46" s="771">
        <v>70.274375184592515</v>
      </c>
      <c r="C46" s="89">
        <v>1.7418669954271233E-2</v>
      </c>
      <c r="D46" s="771">
        <v>7290.3</v>
      </c>
      <c r="E46" s="772">
        <v>70.266967544712543</v>
      </c>
      <c r="F46" s="770">
        <f>+E46-B46</f>
        <v>-7.407639879971839E-3</v>
      </c>
      <c r="G46" s="85">
        <f t="shared" si="6"/>
        <v>-1.0541025602168493E-4</v>
      </c>
      <c r="H46" s="7"/>
    </row>
    <row r="47" spans="1:8">
      <c r="A47" s="449">
        <f t="shared" si="1"/>
        <v>2012</v>
      </c>
      <c r="B47" s="771">
        <v>71.368597114281513</v>
      </c>
      <c r="C47" s="89">
        <v>-9.4922545701344938E-3</v>
      </c>
      <c r="D47" s="771">
        <v>7609.6936915858605</v>
      </c>
      <c r="E47" s="772">
        <v>70.39328904826985</v>
      </c>
      <c r="F47" s="770">
        <f>+E47-B47</f>
        <v>-0.97530806601166375</v>
      </c>
      <c r="G47" s="85">
        <f t="shared" si="6"/>
        <v>-1.3665787271254847E-2</v>
      </c>
      <c r="H47" s="7"/>
    </row>
    <row r="48" spans="1:8">
      <c r="A48" s="450"/>
      <c r="B48" s="771"/>
      <c r="C48" s="89"/>
      <c r="D48" s="771"/>
      <c r="E48" s="772"/>
      <c r="F48" s="773"/>
      <c r="G48" s="92"/>
      <c r="H48" s="7"/>
    </row>
    <row r="49" spans="1:14">
      <c r="A49" s="450"/>
      <c r="B49" s="771"/>
      <c r="C49" s="89"/>
      <c r="D49" s="771"/>
      <c r="E49" s="772"/>
      <c r="F49" s="773"/>
      <c r="G49" s="92"/>
      <c r="H49" s="7"/>
    </row>
    <row r="50" spans="1:14" ht="13.5" thickBot="1">
      <c r="A50" s="774"/>
      <c r="B50" s="418">
        <f>AVERAGE(B5:B47)</f>
        <v>67.842404661032901</v>
      </c>
      <c r="C50" s="224">
        <f>AVERAGE(C6:C47)</f>
        <v>2.2023540148936619E-3</v>
      </c>
      <c r="D50" s="775" t="s">
        <v>121</v>
      </c>
      <c r="E50" s="776"/>
      <c r="F50" s="777">
        <f>AVERAGE(F5:F47)</f>
        <v>-2.2853853625368369E-2</v>
      </c>
      <c r="G50" s="86">
        <f>AVERAGE(G5:H45)</f>
        <v>-0.72163992071700578</v>
      </c>
      <c r="H50" s="26"/>
    </row>
    <row r="51" spans="1:14">
      <c r="A51" s="247"/>
      <c r="B51" s="778">
        <f>RATE(A45-A41,,-B41,B45)</f>
        <v>-2.1870252112010844E-3</v>
      </c>
      <c r="C51" s="175"/>
      <c r="D51" s="247"/>
      <c r="E51" s="779"/>
      <c r="F51" s="780"/>
      <c r="G51" s="37"/>
      <c r="H51" s="26"/>
    </row>
    <row r="52" spans="1:14">
      <c r="A52" s="247"/>
      <c r="B52" s="778"/>
      <c r="C52" s="175"/>
      <c r="D52" s="247"/>
      <c r="E52" s="779"/>
      <c r="F52" s="780"/>
      <c r="G52" s="37"/>
      <c r="H52" s="26"/>
    </row>
    <row r="53" spans="1:14">
      <c r="A53" s="781" t="s">
        <v>122</v>
      </c>
      <c r="B53" s="1348" t="s">
        <v>470</v>
      </c>
      <c r="C53" s="1348" t="s">
        <v>158</v>
      </c>
      <c r="D53" s="1348" t="s">
        <v>189</v>
      </c>
      <c r="E53" s="1348" t="s">
        <v>224</v>
      </c>
      <c r="F53" s="780"/>
      <c r="G53" s="37"/>
      <c r="H53" s="26"/>
    </row>
    <row r="54" spans="1:14">
      <c r="A54" s="781" t="s">
        <v>69</v>
      </c>
      <c r="B54" s="1348"/>
      <c r="C54" s="1348"/>
      <c r="D54" s="1348"/>
      <c r="E54" s="1348"/>
      <c r="F54" s="780"/>
      <c r="G54" s="37"/>
      <c r="H54" s="26"/>
    </row>
    <row r="55" spans="1:14" ht="13.5" thickBot="1">
      <c r="M55" s="239" t="s">
        <v>378</v>
      </c>
      <c r="N55" s="239" t="s">
        <v>382</v>
      </c>
    </row>
    <row r="56" spans="1:14">
      <c r="A56" s="762">
        <v>2012</v>
      </c>
      <c r="B56" s="1173">
        <f>FORECAST(A56,$B$23:$B$47,$A$23:$A$47)</f>
        <v>71.689394882820409</v>
      </c>
      <c r="C56" s="1173">
        <f>B47*(1+$D$78)</f>
        <v>71.111472830305019</v>
      </c>
      <c r="D56" s="1173">
        <f>B47*(1+$D$83)</f>
        <v>71.111472830305019</v>
      </c>
      <c r="E56" s="1173">
        <f>B47*(1+$D$88)</f>
        <v>70.939313000241285</v>
      </c>
      <c r="F56" s="1174">
        <f>B47*(1+C50)</f>
        <v>71.525776030673484</v>
      </c>
      <c r="G56" s="782" t="s">
        <v>312</v>
      </c>
      <c r="L56" s="255" t="s">
        <v>380</v>
      </c>
      <c r="M56" s="694">
        <f>AVERAGE(B5:B45)</f>
        <v>67.697083612818076</v>
      </c>
      <c r="N56" s="263">
        <f>RATE(A45-A5,,-B5,B45)</f>
        <v>1.5926143011817881E-3</v>
      </c>
    </row>
    <row r="57" spans="1:14">
      <c r="A57" s="449">
        <f t="shared" ref="A57:A71" si="7">+A56+1</f>
        <v>2013</v>
      </c>
      <c r="B57" s="767">
        <f t="shared" ref="B57:B69" si="8">FORECAST(A57,$B$5:$B$44,$A$5:$A$44)</f>
        <v>70.487669585076077</v>
      </c>
      <c r="C57" s="767">
        <f>C56*(1+$D$78)</f>
        <v>70.855274904700195</v>
      </c>
      <c r="D57" s="767">
        <f>D56*(1+$D$83)</f>
        <v>70.855274904700195</v>
      </c>
      <c r="E57" s="767">
        <f>E56*(1+$D$88)</f>
        <v>70.512611042191494</v>
      </c>
      <c r="F57" s="1175">
        <v>68.5</v>
      </c>
      <c r="G57" s="783" t="s">
        <v>123</v>
      </c>
      <c r="L57" s="255" t="s">
        <v>379</v>
      </c>
      <c r="M57" s="694">
        <f>AVERAGE(B6:B33)</f>
        <v>66.625000000000014</v>
      </c>
      <c r="N57" s="263">
        <f>RATE(A33-A5,,-B5,B33)</f>
        <v>1.0202308783895571E-3</v>
      </c>
    </row>
    <row r="58" spans="1:14">
      <c r="A58" s="449">
        <f t="shared" si="7"/>
        <v>2014</v>
      </c>
      <c r="B58" s="767">
        <f t="shared" si="8"/>
        <v>70.608773644557289</v>
      </c>
      <c r="C58" s="767">
        <f>C57*(1+$D$78)</f>
        <v>70.600000000015498</v>
      </c>
      <c r="D58" s="767">
        <f>D57*(1+$D$83)</f>
        <v>70.600000000015498</v>
      </c>
      <c r="E58" s="767">
        <f>E57*(1+$D$88)</f>
        <v>70.0884757083914</v>
      </c>
      <c r="F58" s="1175">
        <v>68.700484982118283</v>
      </c>
      <c r="L58" s="255" t="s">
        <v>384</v>
      </c>
      <c r="M58" s="694">
        <f>AVERAGE(B34:B43)</f>
        <v>70.585442283033714</v>
      </c>
      <c r="N58" s="263">
        <f>RATE(A43-A34,,-B34,B43)</f>
        <v>4.7130655734582546E-3</v>
      </c>
    </row>
    <row r="59" spans="1:14">
      <c r="A59" s="449">
        <f t="shared" si="7"/>
        <v>2015</v>
      </c>
      <c r="B59" s="767">
        <f t="shared" si="8"/>
        <v>70.729877704038529</v>
      </c>
      <c r="C59" s="767">
        <f>C58*(1+$D$79)</f>
        <v>70.649806291780166</v>
      </c>
      <c r="D59" s="767">
        <f t="shared" ref="D59:D71" si="9">D58*(1+$D$84)</f>
        <v>70.674565327935625</v>
      </c>
      <c r="E59" s="767">
        <f>E58*(1+$D$88)</f>
        <v>69.666891560524135</v>
      </c>
      <c r="F59" s="1175">
        <v>68.901556741288459</v>
      </c>
      <c r="L59" s="255" t="s">
        <v>383</v>
      </c>
      <c r="M59" s="694">
        <f>AVERAGE(B34:B44)</f>
        <v>70.415360680971901</v>
      </c>
      <c r="N59" s="263">
        <f>RATE(A44-A34,,-B34,B44)</f>
        <v>1.4885777907520969E-3</v>
      </c>
    </row>
    <row r="60" spans="1:14">
      <c r="A60" s="449">
        <f t="shared" si="7"/>
        <v>2016</v>
      </c>
      <c r="B60" s="767">
        <f t="shared" si="8"/>
        <v>70.850981763519741</v>
      </c>
      <c r="C60" s="767">
        <f t="shared" ref="C60:C71" si="10">C59*(1+$D$79)</f>
        <v>70.699647720466913</v>
      </c>
      <c r="D60" s="767">
        <f t="shared" si="9"/>
        <v>70.749209409228669</v>
      </c>
      <c r="E60" s="767">
        <f>E59*(1+$D$88)</f>
        <v>69.247843253134732</v>
      </c>
      <c r="F60" s="1175">
        <v>69.103216994882601</v>
      </c>
      <c r="L60" s="255" t="s">
        <v>381</v>
      </c>
      <c r="M60" s="694">
        <f>AVERAGE(B34:B45)</f>
        <v>70.373369010461786</v>
      </c>
      <c r="N60" s="263">
        <f>RATE(A45-A34,,-B34,B45)</f>
        <v>2.9264020756673242E-3</v>
      </c>
    </row>
    <row r="61" spans="1:14">
      <c r="A61" s="449">
        <f t="shared" si="7"/>
        <v>2017</v>
      </c>
      <c r="B61" s="767">
        <f t="shared" si="8"/>
        <v>70.972085823000981</v>
      </c>
      <c r="C61" s="767">
        <f t="shared" si="10"/>
        <v>70.749524310863848</v>
      </c>
      <c r="D61" s="767">
        <f t="shared" si="9"/>
        <v>70.823932327071262</v>
      </c>
      <c r="E61" s="767">
        <f>E60*(1+$D$89)</f>
        <v>69.381885295942297</v>
      </c>
      <c r="F61" s="1175">
        <v>69.305467465299174</v>
      </c>
    </row>
    <row r="62" spans="1:14">
      <c r="A62" s="449">
        <f t="shared" si="7"/>
        <v>2018</v>
      </c>
      <c r="B62" s="767">
        <f t="shared" si="8"/>
        <v>71.093189882482193</v>
      </c>
      <c r="C62" s="767">
        <f t="shared" si="10"/>
        <v>70.799436087776556</v>
      </c>
      <c r="D62" s="767">
        <f t="shared" si="9"/>
        <v>70.898734164727912</v>
      </c>
      <c r="E62" s="767">
        <f t="shared" ref="E62:E71" si="11">E61*(1+$D$89)</f>
        <v>69.516186801982158</v>
      </c>
      <c r="F62" s="1175">
        <v>69.508309879977716</v>
      </c>
      <c r="L62" s="255" t="s">
        <v>385</v>
      </c>
      <c r="M62" s="694">
        <f>AVERAGE(B35:B43)</f>
        <v>70.906046981148563</v>
      </c>
      <c r="N62" s="263">
        <f>RATE(A43-A35,,-B35,B43)</f>
        <v>-4.1233899470260573E-3</v>
      </c>
    </row>
    <row r="63" spans="1:14">
      <c r="A63" s="449">
        <f t="shared" si="7"/>
        <v>2019</v>
      </c>
      <c r="B63" s="767">
        <f t="shared" si="8"/>
        <v>71.214293941963433</v>
      </c>
      <c r="C63" s="767">
        <f t="shared" si="10"/>
        <v>70.849383076028118</v>
      </c>
      <c r="D63" s="767">
        <f t="shared" si="9"/>
        <v>70.973615005551054</v>
      </c>
      <c r="E63" s="767">
        <f t="shared" si="11"/>
        <v>69.650748273493519</v>
      </c>
      <c r="F63" s="1175">
        <v>69.71174597141362</v>
      </c>
      <c r="L63" s="255" t="s">
        <v>386</v>
      </c>
      <c r="M63" s="694">
        <f>AVERAGE(B36:B40)</f>
        <v>70.644513178772044</v>
      </c>
      <c r="N63" s="263">
        <f>RATE(A40-A36,,-B36,B40)</f>
        <v>2.4648520009469838E-3</v>
      </c>
    </row>
    <row r="64" spans="1:14">
      <c r="A64" s="449">
        <f t="shared" si="7"/>
        <v>2020</v>
      </c>
      <c r="B64" s="767">
        <f t="shared" si="8"/>
        <v>71.335398001444645</v>
      </c>
      <c r="C64" s="767">
        <f t="shared" si="10"/>
        <v>70.899365300459138</v>
      </c>
      <c r="D64" s="767">
        <f t="shared" si="9"/>
        <v>71.04857493298114</v>
      </c>
      <c r="E64" s="767">
        <f t="shared" si="11"/>
        <v>69.785570213687762</v>
      </c>
      <c r="F64" s="1175">
        <v>69.915777477172938</v>
      </c>
      <c r="L64" s="255" t="s">
        <v>334</v>
      </c>
      <c r="M64" s="694">
        <f>AVERAGE(B41:B45)</f>
        <v>70.111572446336254</v>
      </c>
      <c r="N64" s="263">
        <f>RATE(A45-A41,,-B41,B45)</f>
        <v>-2.1870252112010844E-3</v>
      </c>
    </row>
    <row r="65" spans="1:6">
      <c r="A65" s="449">
        <f t="shared" si="7"/>
        <v>2021</v>
      </c>
      <c r="B65" s="767">
        <f t="shared" si="8"/>
        <v>71.456502060925885</v>
      </c>
      <c r="C65" s="767">
        <f t="shared" si="10"/>
        <v>70.949382785927739</v>
      </c>
      <c r="D65" s="767">
        <f t="shared" si="9"/>
        <v>71.123614030546776</v>
      </c>
      <c r="E65" s="767">
        <f t="shared" si="11"/>
        <v>69.920653126750324</v>
      </c>
      <c r="F65" s="1175">
        <v>70.120406139907203</v>
      </c>
    </row>
    <row r="66" spans="1:6">
      <c r="A66" s="449">
        <f t="shared" si="7"/>
        <v>2022</v>
      </c>
      <c r="B66" s="767">
        <f>FORECAST(A66,$B$5:$B$44,$A$5:$A$44)</f>
        <v>71.577606120407097</v>
      </c>
      <c r="C66" s="767">
        <f t="shared" si="10"/>
        <v>70.999435557309582</v>
      </c>
      <c r="D66" s="767">
        <f t="shared" si="9"/>
        <v>71.198732381864772</v>
      </c>
      <c r="E66" s="767">
        <f t="shared" si="11"/>
        <v>70.055997517842599</v>
      </c>
      <c r="F66" s="1175">
        <v>70.325633707368311</v>
      </c>
    </row>
    <row r="67" spans="1:6">
      <c r="A67" s="449">
        <f t="shared" si="7"/>
        <v>2023</v>
      </c>
      <c r="B67" s="767">
        <f t="shared" si="8"/>
        <v>71.698710179888337</v>
      </c>
      <c r="C67" s="767">
        <f t="shared" si="10"/>
        <v>71.049523639497863</v>
      </c>
      <c r="D67" s="767">
        <f t="shared" si="9"/>
        <v>71.273930070640262</v>
      </c>
      <c r="E67" s="767">
        <f t="shared" si="11"/>
        <v>70.191603893103789</v>
      </c>
      <c r="F67" s="1175">
        <v>70.531461932423468</v>
      </c>
    </row>
    <row r="68" spans="1:6">
      <c r="A68" s="784">
        <f t="shared" si="7"/>
        <v>2024</v>
      </c>
      <c r="B68" s="767">
        <f t="shared" si="8"/>
        <v>71.819814239369549</v>
      </c>
      <c r="C68" s="767">
        <f t="shared" si="10"/>
        <v>71.099647057403359</v>
      </c>
      <c r="D68" s="767">
        <f t="shared" si="9"/>
        <v>71.349207180666781</v>
      </c>
      <c r="E68" s="767">
        <f t="shared" si="11"/>
        <v>70.327472759652849</v>
      </c>
      <c r="F68" s="1175">
        <v>70.737892573070155</v>
      </c>
    </row>
    <row r="69" spans="1:6">
      <c r="A69" s="785">
        <f t="shared" si="7"/>
        <v>2025</v>
      </c>
      <c r="B69" s="767">
        <f t="shared" si="8"/>
        <v>71.940918298850789</v>
      </c>
      <c r="C69" s="767">
        <f t="shared" si="10"/>
        <v>71.149805835954425</v>
      </c>
      <c r="D69" s="767">
        <f t="shared" si="9"/>
        <v>71.424563795826359</v>
      </c>
      <c r="E69" s="767">
        <f t="shared" si="11"/>
        <v>70.463604625590349</v>
      </c>
      <c r="F69" s="1175">
        <v>70.944927392451135</v>
      </c>
    </row>
    <row r="70" spans="1:6">
      <c r="A70" s="784">
        <f t="shared" si="7"/>
        <v>2026</v>
      </c>
      <c r="B70" s="767">
        <f>FORECAST(A70,$B$5:$B$44,$A$5:$A$44)</f>
        <v>72.062022358332001</v>
      </c>
      <c r="C70" s="767">
        <f t="shared" si="10"/>
        <v>71.200000000096978</v>
      </c>
      <c r="D70" s="767">
        <f t="shared" si="9"/>
        <v>71.500000000089628</v>
      </c>
      <c r="E70" s="767">
        <f t="shared" si="11"/>
        <v>70.600000000000378</v>
      </c>
      <c r="F70" s="1175">
        <v>71.152568158869499</v>
      </c>
    </row>
    <row r="71" spans="1:6">
      <c r="A71" s="784">
        <f t="shared" si="7"/>
        <v>2027</v>
      </c>
      <c r="B71" s="767">
        <f>FORECAST(A71,$B$5:$B$44,$A$5:$A$44)</f>
        <v>72.183126417813241</v>
      </c>
      <c r="C71" s="767">
        <f t="shared" si="10"/>
        <v>71.250229574794545</v>
      </c>
      <c r="D71" s="767">
        <f t="shared" si="9"/>
        <v>71.575515877515898</v>
      </c>
      <c r="E71" s="767">
        <f t="shared" si="11"/>
        <v>70.736659392952447</v>
      </c>
      <c r="F71" s="1175">
        <v>71.152568158869499</v>
      </c>
    </row>
    <row r="72" spans="1:6" ht="13.5" thickBot="1">
      <c r="A72" s="786"/>
      <c r="B72" s="308"/>
      <c r="C72" s="308"/>
      <c r="D72" s="1176"/>
      <c r="E72" s="1177"/>
      <c r="F72" s="1178"/>
    </row>
    <row r="75" spans="1:6">
      <c r="A75" s="238" t="s">
        <v>164</v>
      </c>
      <c r="C75" s="238" t="s">
        <v>471</v>
      </c>
      <c r="D75" s="238" t="s">
        <v>41</v>
      </c>
    </row>
    <row r="77" spans="1:6">
      <c r="A77" s="318" t="s">
        <v>158</v>
      </c>
    </row>
    <row r="78" spans="1:6">
      <c r="A78" s="238" t="s">
        <v>472</v>
      </c>
      <c r="B78" s="238">
        <v>3</v>
      </c>
      <c r="C78" s="238">
        <v>70.599999999999994</v>
      </c>
      <c r="D78" s="263">
        <f>RATE(B78,,-$B$47,C78)</f>
        <v>-3.6027650027190255E-3</v>
      </c>
    </row>
    <row r="79" spans="1:6">
      <c r="A79" s="238" t="s">
        <v>473</v>
      </c>
      <c r="B79" s="238">
        <v>12</v>
      </c>
      <c r="C79" s="238">
        <v>71.2</v>
      </c>
      <c r="D79" s="263">
        <f>RATE(B79,,-$C$78,C79)</f>
        <v>7.0547155474003597E-4</v>
      </c>
    </row>
    <row r="80" spans="1:6">
      <c r="A80" s="238" t="s">
        <v>474</v>
      </c>
      <c r="D80" s="263">
        <f>RATE($A$70-A56,,-C56,C70)</f>
        <v>8.8870580320434361E-5</v>
      </c>
    </row>
    <row r="82" spans="1:4">
      <c r="A82" s="318" t="s">
        <v>475</v>
      </c>
    </row>
    <row r="83" spans="1:4">
      <c r="A83" s="238" t="s">
        <v>472</v>
      </c>
      <c r="B83" s="238">
        <v>3</v>
      </c>
      <c r="C83" s="238">
        <v>70.599999999999994</v>
      </c>
      <c r="D83" s="263">
        <f>RATE(B83,,-$B$47,C83)</f>
        <v>-3.6027650027190255E-3</v>
      </c>
    </row>
    <row r="84" spans="1:4">
      <c r="A84" s="238" t="s">
        <v>473</v>
      </c>
      <c r="B84" s="238">
        <v>12</v>
      </c>
      <c r="C84" s="238">
        <v>71.5</v>
      </c>
      <c r="D84" s="263">
        <f>RATE(B84,,-$C$83,C84)</f>
        <v>1.0561661178485416E-3</v>
      </c>
    </row>
    <row r="85" spans="1:4">
      <c r="A85" s="238" t="s">
        <v>474</v>
      </c>
      <c r="D85" s="263">
        <f>RATE($A$70-A56,,-D56,D70)</f>
        <v>3.8927318399502477E-4</v>
      </c>
    </row>
    <row r="87" spans="1:4">
      <c r="A87" s="318" t="s">
        <v>224</v>
      </c>
    </row>
    <row r="88" spans="1:4">
      <c r="A88" s="238" t="s">
        <v>472</v>
      </c>
      <c r="B88" s="238">
        <v>5</v>
      </c>
      <c r="C88" s="771">
        <v>69.247843253134562</v>
      </c>
      <c r="D88" s="263">
        <f>RATE(B88,,-$B$47,C88)</f>
        <v>-6.0150280571273779E-3</v>
      </c>
    </row>
    <row r="89" spans="1:4">
      <c r="A89" s="238" t="s">
        <v>473</v>
      </c>
      <c r="B89" s="238">
        <v>10</v>
      </c>
      <c r="C89" s="238">
        <v>70.599999999999994</v>
      </c>
      <c r="D89" s="263">
        <f>RATE(B89,,-$C$88,C89)</f>
        <v>1.9356854525789827E-3</v>
      </c>
    </row>
    <row r="90" spans="1:4">
      <c r="A90" s="238" t="s">
        <v>474</v>
      </c>
      <c r="D90" s="263">
        <f>RATE($A$70-A56,,-E56,E70)</f>
        <v>-3.4241425190219092E-4</v>
      </c>
    </row>
  </sheetData>
  <mergeCells count="4">
    <mergeCell ref="B53:B54"/>
    <mergeCell ref="C53:C54"/>
    <mergeCell ref="D53:D54"/>
    <mergeCell ref="E53:E54"/>
  </mergeCells>
  <pageMargins left="0.70866141732283472" right="0.78740157480314965" top="0.70866141732283472" bottom="0.94488188976377963" header="0" footer="0"/>
  <pageSetup scale="55"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sheetPr>
    <pageSetUpPr fitToPage="1"/>
  </sheetPr>
  <dimension ref="A1:S103"/>
  <sheetViews>
    <sheetView topLeftCell="A88" zoomScaleNormal="100" workbookViewId="0">
      <selection activeCell="C120" sqref="C120"/>
    </sheetView>
  </sheetViews>
  <sheetFormatPr baseColWidth="10" defaultRowHeight="12.75"/>
  <cols>
    <col min="1" max="1" width="13.5703125" customWidth="1"/>
    <col min="2" max="2" width="16.85546875" customWidth="1"/>
    <col min="4" max="4" width="15.5703125" customWidth="1"/>
    <col min="5" max="5" width="17" customWidth="1"/>
    <col min="7" max="7" width="14.85546875" customWidth="1"/>
    <col min="8" max="8" width="12.7109375" customWidth="1"/>
    <col min="9" max="9" width="14.5703125" customWidth="1"/>
    <col min="10" max="10" width="15.5703125" customWidth="1"/>
    <col min="11" max="11" width="14.28515625" customWidth="1"/>
    <col min="257" max="257" width="13.5703125" customWidth="1"/>
    <col min="258" max="258" width="12.85546875" customWidth="1"/>
    <col min="260" max="260" width="15.5703125" customWidth="1"/>
    <col min="261" max="261" width="17" customWidth="1"/>
    <col min="263" max="263" width="14.85546875" customWidth="1"/>
    <col min="264" max="264" width="12.7109375" customWidth="1"/>
    <col min="266" max="266" width="15.5703125" customWidth="1"/>
    <col min="267" max="267" width="14.28515625" customWidth="1"/>
    <col min="513" max="513" width="13.5703125" customWidth="1"/>
    <col min="514" max="514" width="12.85546875" customWidth="1"/>
    <col min="516" max="516" width="15.5703125" customWidth="1"/>
    <col min="517" max="517" width="17" customWidth="1"/>
    <col min="519" max="519" width="14.85546875" customWidth="1"/>
    <col min="520" max="520" width="12.7109375" customWidth="1"/>
    <col min="522" max="522" width="15.5703125" customWidth="1"/>
    <col min="523" max="523" width="14.28515625" customWidth="1"/>
    <col min="769" max="769" width="13.5703125" customWidth="1"/>
    <col min="770" max="770" width="12.85546875" customWidth="1"/>
    <col min="772" max="772" width="15.5703125" customWidth="1"/>
    <col min="773" max="773" width="17" customWidth="1"/>
    <col min="775" max="775" width="14.85546875" customWidth="1"/>
    <col min="776" max="776" width="12.7109375" customWidth="1"/>
    <col min="778" max="778" width="15.5703125" customWidth="1"/>
    <col min="779" max="779" width="14.28515625" customWidth="1"/>
    <col min="1025" max="1025" width="13.5703125" customWidth="1"/>
    <col min="1026" max="1026" width="12.85546875" customWidth="1"/>
    <col min="1028" max="1028" width="15.5703125" customWidth="1"/>
    <col min="1029" max="1029" width="17" customWidth="1"/>
    <col min="1031" max="1031" width="14.85546875" customWidth="1"/>
    <col min="1032" max="1032" width="12.7109375" customWidth="1"/>
    <col min="1034" max="1034" width="15.5703125" customWidth="1"/>
    <col min="1035" max="1035" width="14.28515625" customWidth="1"/>
    <col min="1281" max="1281" width="13.5703125" customWidth="1"/>
    <col min="1282" max="1282" width="12.85546875" customWidth="1"/>
    <col min="1284" max="1284" width="15.5703125" customWidth="1"/>
    <col min="1285" max="1285" width="17" customWidth="1"/>
    <col min="1287" max="1287" width="14.85546875" customWidth="1"/>
    <col min="1288" max="1288" width="12.7109375" customWidth="1"/>
    <col min="1290" max="1290" width="15.5703125" customWidth="1"/>
    <col min="1291" max="1291" width="14.28515625" customWidth="1"/>
    <col min="1537" max="1537" width="13.5703125" customWidth="1"/>
    <col min="1538" max="1538" width="12.85546875" customWidth="1"/>
    <col min="1540" max="1540" width="15.5703125" customWidth="1"/>
    <col min="1541" max="1541" width="17" customWidth="1"/>
    <col min="1543" max="1543" width="14.85546875" customWidth="1"/>
    <col min="1544" max="1544" width="12.7109375" customWidth="1"/>
    <col min="1546" max="1546" width="15.5703125" customWidth="1"/>
    <col min="1547" max="1547" width="14.28515625" customWidth="1"/>
    <col min="1793" max="1793" width="13.5703125" customWidth="1"/>
    <col min="1794" max="1794" width="12.85546875" customWidth="1"/>
    <col min="1796" max="1796" width="15.5703125" customWidth="1"/>
    <col min="1797" max="1797" width="17" customWidth="1"/>
    <col min="1799" max="1799" width="14.85546875" customWidth="1"/>
    <col min="1800" max="1800" width="12.7109375" customWidth="1"/>
    <col min="1802" max="1802" width="15.5703125" customWidth="1"/>
    <col min="1803" max="1803" width="14.28515625" customWidth="1"/>
    <col min="2049" max="2049" width="13.5703125" customWidth="1"/>
    <col min="2050" max="2050" width="12.85546875" customWidth="1"/>
    <col min="2052" max="2052" width="15.5703125" customWidth="1"/>
    <col min="2053" max="2053" width="17" customWidth="1"/>
    <col min="2055" max="2055" width="14.85546875" customWidth="1"/>
    <col min="2056" max="2056" width="12.7109375" customWidth="1"/>
    <col min="2058" max="2058" width="15.5703125" customWidth="1"/>
    <col min="2059" max="2059" width="14.28515625" customWidth="1"/>
    <col min="2305" max="2305" width="13.5703125" customWidth="1"/>
    <col min="2306" max="2306" width="12.85546875" customWidth="1"/>
    <col min="2308" max="2308" width="15.5703125" customWidth="1"/>
    <col min="2309" max="2309" width="17" customWidth="1"/>
    <col min="2311" max="2311" width="14.85546875" customWidth="1"/>
    <col min="2312" max="2312" width="12.7109375" customWidth="1"/>
    <col min="2314" max="2314" width="15.5703125" customWidth="1"/>
    <col min="2315" max="2315" width="14.28515625" customWidth="1"/>
    <col min="2561" max="2561" width="13.5703125" customWidth="1"/>
    <col min="2562" max="2562" width="12.85546875" customWidth="1"/>
    <col min="2564" max="2564" width="15.5703125" customWidth="1"/>
    <col min="2565" max="2565" width="17" customWidth="1"/>
    <col min="2567" max="2567" width="14.85546875" customWidth="1"/>
    <col min="2568" max="2568" width="12.7109375" customWidth="1"/>
    <col min="2570" max="2570" width="15.5703125" customWidth="1"/>
    <col min="2571" max="2571" width="14.28515625" customWidth="1"/>
    <col min="2817" max="2817" width="13.5703125" customWidth="1"/>
    <col min="2818" max="2818" width="12.85546875" customWidth="1"/>
    <col min="2820" max="2820" width="15.5703125" customWidth="1"/>
    <col min="2821" max="2821" width="17" customWidth="1"/>
    <col min="2823" max="2823" width="14.85546875" customWidth="1"/>
    <col min="2824" max="2824" width="12.7109375" customWidth="1"/>
    <col min="2826" max="2826" width="15.5703125" customWidth="1"/>
    <col min="2827" max="2827" width="14.28515625" customWidth="1"/>
    <col min="3073" max="3073" width="13.5703125" customWidth="1"/>
    <col min="3074" max="3074" width="12.85546875" customWidth="1"/>
    <col min="3076" max="3076" width="15.5703125" customWidth="1"/>
    <col min="3077" max="3077" width="17" customWidth="1"/>
    <col min="3079" max="3079" width="14.85546875" customWidth="1"/>
    <col min="3080" max="3080" width="12.7109375" customWidth="1"/>
    <col min="3082" max="3082" width="15.5703125" customWidth="1"/>
    <col min="3083" max="3083" width="14.28515625" customWidth="1"/>
    <col min="3329" max="3329" width="13.5703125" customWidth="1"/>
    <col min="3330" max="3330" width="12.85546875" customWidth="1"/>
    <col min="3332" max="3332" width="15.5703125" customWidth="1"/>
    <col min="3333" max="3333" width="17" customWidth="1"/>
    <col min="3335" max="3335" width="14.85546875" customWidth="1"/>
    <col min="3336" max="3336" width="12.7109375" customWidth="1"/>
    <col min="3338" max="3338" width="15.5703125" customWidth="1"/>
    <col min="3339" max="3339" width="14.28515625" customWidth="1"/>
    <col min="3585" max="3585" width="13.5703125" customWidth="1"/>
    <col min="3586" max="3586" width="12.85546875" customWidth="1"/>
    <col min="3588" max="3588" width="15.5703125" customWidth="1"/>
    <col min="3589" max="3589" width="17" customWidth="1"/>
    <col min="3591" max="3591" width="14.85546875" customWidth="1"/>
    <col min="3592" max="3592" width="12.7109375" customWidth="1"/>
    <col min="3594" max="3594" width="15.5703125" customWidth="1"/>
    <col min="3595" max="3595" width="14.28515625" customWidth="1"/>
    <col min="3841" max="3841" width="13.5703125" customWidth="1"/>
    <col min="3842" max="3842" width="12.85546875" customWidth="1"/>
    <col min="3844" max="3844" width="15.5703125" customWidth="1"/>
    <col min="3845" max="3845" width="17" customWidth="1"/>
    <col min="3847" max="3847" width="14.85546875" customWidth="1"/>
    <col min="3848" max="3848" width="12.7109375" customWidth="1"/>
    <col min="3850" max="3850" width="15.5703125" customWidth="1"/>
    <col min="3851" max="3851" width="14.28515625" customWidth="1"/>
    <col min="4097" max="4097" width="13.5703125" customWidth="1"/>
    <col min="4098" max="4098" width="12.85546875" customWidth="1"/>
    <col min="4100" max="4100" width="15.5703125" customWidth="1"/>
    <col min="4101" max="4101" width="17" customWidth="1"/>
    <col min="4103" max="4103" width="14.85546875" customWidth="1"/>
    <col min="4104" max="4104" width="12.7109375" customWidth="1"/>
    <col min="4106" max="4106" width="15.5703125" customWidth="1"/>
    <col min="4107" max="4107" width="14.28515625" customWidth="1"/>
    <col min="4353" max="4353" width="13.5703125" customWidth="1"/>
    <col min="4354" max="4354" width="12.85546875" customWidth="1"/>
    <col min="4356" max="4356" width="15.5703125" customWidth="1"/>
    <col min="4357" max="4357" width="17" customWidth="1"/>
    <col min="4359" max="4359" width="14.85546875" customWidth="1"/>
    <col min="4360" max="4360" width="12.7109375" customWidth="1"/>
    <col min="4362" max="4362" width="15.5703125" customWidth="1"/>
    <col min="4363" max="4363" width="14.28515625" customWidth="1"/>
    <col min="4609" max="4609" width="13.5703125" customWidth="1"/>
    <col min="4610" max="4610" width="12.85546875" customWidth="1"/>
    <col min="4612" max="4612" width="15.5703125" customWidth="1"/>
    <col min="4613" max="4613" width="17" customWidth="1"/>
    <col min="4615" max="4615" width="14.85546875" customWidth="1"/>
    <col min="4616" max="4616" width="12.7109375" customWidth="1"/>
    <col min="4618" max="4618" width="15.5703125" customWidth="1"/>
    <col min="4619" max="4619" width="14.28515625" customWidth="1"/>
    <col min="4865" max="4865" width="13.5703125" customWidth="1"/>
    <col min="4866" max="4866" width="12.85546875" customWidth="1"/>
    <col min="4868" max="4868" width="15.5703125" customWidth="1"/>
    <col min="4869" max="4869" width="17" customWidth="1"/>
    <col min="4871" max="4871" width="14.85546875" customWidth="1"/>
    <col min="4872" max="4872" width="12.7109375" customWidth="1"/>
    <col min="4874" max="4874" width="15.5703125" customWidth="1"/>
    <col min="4875" max="4875" width="14.28515625" customWidth="1"/>
    <col min="5121" max="5121" width="13.5703125" customWidth="1"/>
    <col min="5122" max="5122" width="12.85546875" customWidth="1"/>
    <col min="5124" max="5124" width="15.5703125" customWidth="1"/>
    <col min="5125" max="5125" width="17" customWidth="1"/>
    <col min="5127" max="5127" width="14.85546875" customWidth="1"/>
    <col min="5128" max="5128" width="12.7109375" customWidth="1"/>
    <col min="5130" max="5130" width="15.5703125" customWidth="1"/>
    <col min="5131" max="5131" width="14.28515625" customWidth="1"/>
    <col min="5377" max="5377" width="13.5703125" customWidth="1"/>
    <col min="5378" max="5378" width="12.85546875" customWidth="1"/>
    <col min="5380" max="5380" width="15.5703125" customWidth="1"/>
    <col min="5381" max="5381" width="17" customWidth="1"/>
    <col min="5383" max="5383" width="14.85546875" customWidth="1"/>
    <col min="5384" max="5384" width="12.7109375" customWidth="1"/>
    <col min="5386" max="5386" width="15.5703125" customWidth="1"/>
    <col min="5387" max="5387" width="14.28515625" customWidth="1"/>
    <col min="5633" max="5633" width="13.5703125" customWidth="1"/>
    <col min="5634" max="5634" width="12.85546875" customWidth="1"/>
    <col min="5636" max="5636" width="15.5703125" customWidth="1"/>
    <col min="5637" max="5637" width="17" customWidth="1"/>
    <col min="5639" max="5639" width="14.85546875" customWidth="1"/>
    <col min="5640" max="5640" width="12.7109375" customWidth="1"/>
    <col min="5642" max="5642" width="15.5703125" customWidth="1"/>
    <col min="5643" max="5643" width="14.28515625" customWidth="1"/>
    <col min="5889" max="5889" width="13.5703125" customWidth="1"/>
    <col min="5890" max="5890" width="12.85546875" customWidth="1"/>
    <col min="5892" max="5892" width="15.5703125" customWidth="1"/>
    <col min="5893" max="5893" width="17" customWidth="1"/>
    <col min="5895" max="5895" width="14.85546875" customWidth="1"/>
    <col min="5896" max="5896" width="12.7109375" customWidth="1"/>
    <col min="5898" max="5898" width="15.5703125" customWidth="1"/>
    <col min="5899" max="5899" width="14.28515625" customWidth="1"/>
    <col min="6145" max="6145" width="13.5703125" customWidth="1"/>
    <col min="6146" max="6146" width="12.85546875" customWidth="1"/>
    <col min="6148" max="6148" width="15.5703125" customWidth="1"/>
    <col min="6149" max="6149" width="17" customWidth="1"/>
    <col min="6151" max="6151" width="14.85546875" customWidth="1"/>
    <col min="6152" max="6152" width="12.7109375" customWidth="1"/>
    <col min="6154" max="6154" width="15.5703125" customWidth="1"/>
    <col min="6155" max="6155" width="14.28515625" customWidth="1"/>
    <col min="6401" max="6401" width="13.5703125" customWidth="1"/>
    <col min="6402" max="6402" width="12.85546875" customWidth="1"/>
    <col min="6404" max="6404" width="15.5703125" customWidth="1"/>
    <col min="6405" max="6405" width="17" customWidth="1"/>
    <col min="6407" max="6407" width="14.85546875" customWidth="1"/>
    <col min="6408" max="6408" width="12.7109375" customWidth="1"/>
    <col min="6410" max="6410" width="15.5703125" customWidth="1"/>
    <col min="6411" max="6411" width="14.28515625" customWidth="1"/>
    <col min="6657" max="6657" width="13.5703125" customWidth="1"/>
    <col min="6658" max="6658" width="12.85546875" customWidth="1"/>
    <col min="6660" max="6660" width="15.5703125" customWidth="1"/>
    <col min="6661" max="6661" width="17" customWidth="1"/>
    <col min="6663" max="6663" width="14.85546875" customWidth="1"/>
    <col min="6664" max="6664" width="12.7109375" customWidth="1"/>
    <col min="6666" max="6666" width="15.5703125" customWidth="1"/>
    <col min="6667" max="6667" width="14.28515625" customWidth="1"/>
    <col min="6913" max="6913" width="13.5703125" customWidth="1"/>
    <col min="6914" max="6914" width="12.85546875" customWidth="1"/>
    <col min="6916" max="6916" width="15.5703125" customWidth="1"/>
    <col min="6917" max="6917" width="17" customWidth="1"/>
    <col min="6919" max="6919" width="14.85546875" customWidth="1"/>
    <col min="6920" max="6920" width="12.7109375" customWidth="1"/>
    <col min="6922" max="6922" width="15.5703125" customWidth="1"/>
    <col min="6923" max="6923" width="14.28515625" customWidth="1"/>
    <col min="7169" max="7169" width="13.5703125" customWidth="1"/>
    <col min="7170" max="7170" width="12.85546875" customWidth="1"/>
    <col min="7172" max="7172" width="15.5703125" customWidth="1"/>
    <col min="7173" max="7173" width="17" customWidth="1"/>
    <col min="7175" max="7175" width="14.85546875" customWidth="1"/>
    <col min="7176" max="7176" width="12.7109375" customWidth="1"/>
    <col min="7178" max="7178" width="15.5703125" customWidth="1"/>
    <col min="7179" max="7179" width="14.28515625" customWidth="1"/>
    <col min="7425" max="7425" width="13.5703125" customWidth="1"/>
    <col min="7426" max="7426" width="12.85546875" customWidth="1"/>
    <col min="7428" max="7428" width="15.5703125" customWidth="1"/>
    <col min="7429" max="7429" width="17" customWidth="1"/>
    <col min="7431" max="7431" width="14.85546875" customWidth="1"/>
    <col min="7432" max="7432" width="12.7109375" customWidth="1"/>
    <col min="7434" max="7434" width="15.5703125" customWidth="1"/>
    <col min="7435" max="7435" width="14.28515625" customWidth="1"/>
    <col min="7681" max="7681" width="13.5703125" customWidth="1"/>
    <col min="7682" max="7682" width="12.85546875" customWidth="1"/>
    <col min="7684" max="7684" width="15.5703125" customWidth="1"/>
    <col min="7685" max="7685" width="17" customWidth="1"/>
    <col min="7687" max="7687" width="14.85546875" customWidth="1"/>
    <col min="7688" max="7688" width="12.7109375" customWidth="1"/>
    <col min="7690" max="7690" width="15.5703125" customWidth="1"/>
    <col min="7691" max="7691" width="14.28515625" customWidth="1"/>
    <col min="7937" max="7937" width="13.5703125" customWidth="1"/>
    <col min="7938" max="7938" width="12.85546875" customWidth="1"/>
    <col min="7940" max="7940" width="15.5703125" customWidth="1"/>
    <col min="7941" max="7941" width="17" customWidth="1"/>
    <col min="7943" max="7943" width="14.85546875" customWidth="1"/>
    <col min="7944" max="7944" width="12.7109375" customWidth="1"/>
    <col min="7946" max="7946" width="15.5703125" customWidth="1"/>
    <col min="7947" max="7947" width="14.28515625" customWidth="1"/>
    <col min="8193" max="8193" width="13.5703125" customWidth="1"/>
    <col min="8194" max="8194" width="12.85546875" customWidth="1"/>
    <col min="8196" max="8196" width="15.5703125" customWidth="1"/>
    <col min="8197" max="8197" width="17" customWidth="1"/>
    <col min="8199" max="8199" width="14.85546875" customWidth="1"/>
    <col min="8200" max="8200" width="12.7109375" customWidth="1"/>
    <col min="8202" max="8202" width="15.5703125" customWidth="1"/>
    <col min="8203" max="8203" width="14.28515625" customWidth="1"/>
    <col min="8449" max="8449" width="13.5703125" customWidth="1"/>
    <col min="8450" max="8450" width="12.85546875" customWidth="1"/>
    <col min="8452" max="8452" width="15.5703125" customWidth="1"/>
    <col min="8453" max="8453" width="17" customWidth="1"/>
    <col min="8455" max="8455" width="14.85546875" customWidth="1"/>
    <col min="8456" max="8456" width="12.7109375" customWidth="1"/>
    <col min="8458" max="8458" width="15.5703125" customWidth="1"/>
    <col min="8459" max="8459" width="14.28515625" customWidth="1"/>
    <col min="8705" max="8705" width="13.5703125" customWidth="1"/>
    <col min="8706" max="8706" width="12.85546875" customWidth="1"/>
    <col min="8708" max="8708" width="15.5703125" customWidth="1"/>
    <col min="8709" max="8709" width="17" customWidth="1"/>
    <col min="8711" max="8711" width="14.85546875" customWidth="1"/>
    <col min="8712" max="8712" width="12.7109375" customWidth="1"/>
    <col min="8714" max="8714" width="15.5703125" customWidth="1"/>
    <col min="8715" max="8715" width="14.28515625" customWidth="1"/>
    <col min="8961" max="8961" width="13.5703125" customWidth="1"/>
    <col min="8962" max="8962" width="12.85546875" customWidth="1"/>
    <col min="8964" max="8964" width="15.5703125" customWidth="1"/>
    <col min="8965" max="8965" width="17" customWidth="1"/>
    <col min="8967" max="8967" width="14.85546875" customWidth="1"/>
    <col min="8968" max="8968" width="12.7109375" customWidth="1"/>
    <col min="8970" max="8970" width="15.5703125" customWidth="1"/>
    <col min="8971" max="8971" width="14.28515625" customWidth="1"/>
    <col min="9217" max="9217" width="13.5703125" customWidth="1"/>
    <col min="9218" max="9218" width="12.85546875" customWidth="1"/>
    <col min="9220" max="9220" width="15.5703125" customWidth="1"/>
    <col min="9221" max="9221" width="17" customWidth="1"/>
    <col min="9223" max="9223" width="14.85546875" customWidth="1"/>
    <col min="9224" max="9224" width="12.7109375" customWidth="1"/>
    <col min="9226" max="9226" width="15.5703125" customWidth="1"/>
    <col min="9227" max="9227" width="14.28515625" customWidth="1"/>
    <col min="9473" max="9473" width="13.5703125" customWidth="1"/>
    <col min="9474" max="9474" width="12.85546875" customWidth="1"/>
    <col min="9476" max="9476" width="15.5703125" customWidth="1"/>
    <col min="9477" max="9477" width="17" customWidth="1"/>
    <col min="9479" max="9479" width="14.85546875" customWidth="1"/>
    <col min="9480" max="9480" width="12.7109375" customWidth="1"/>
    <col min="9482" max="9482" width="15.5703125" customWidth="1"/>
    <col min="9483" max="9483" width="14.28515625" customWidth="1"/>
    <col min="9729" max="9729" width="13.5703125" customWidth="1"/>
    <col min="9730" max="9730" width="12.85546875" customWidth="1"/>
    <col min="9732" max="9732" width="15.5703125" customWidth="1"/>
    <col min="9733" max="9733" width="17" customWidth="1"/>
    <col min="9735" max="9735" width="14.85546875" customWidth="1"/>
    <col min="9736" max="9736" width="12.7109375" customWidth="1"/>
    <col min="9738" max="9738" width="15.5703125" customWidth="1"/>
    <col min="9739" max="9739" width="14.28515625" customWidth="1"/>
    <col min="9985" max="9985" width="13.5703125" customWidth="1"/>
    <col min="9986" max="9986" width="12.85546875" customWidth="1"/>
    <col min="9988" max="9988" width="15.5703125" customWidth="1"/>
    <col min="9989" max="9989" width="17" customWidth="1"/>
    <col min="9991" max="9991" width="14.85546875" customWidth="1"/>
    <col min="9992" max="9992" width="12.7109375" customWidth="1"/>
    <col min="9994" max="9994" width="15.5703125" customWidth="1"/>
    <col min="9995" max="9995" width="14.28515625" customWidth="1"/>
    <col min="10241" max="10241" width="13.5703125" customWidth="1"/>
    <col min="10242" max="10242" width="12.85546875" customWidth="1"/>
    <col min="10244" max="10244" width="15.5703125" customWidth="1"/>
    <col min="10245" max="10245" width="17" customWidth="1"/>
    <col min="10247" max="10247" width="14.85546875" customWidth="1"/>
    <col min="10248" max="10248" width="12.7109375" customWidth="1"/>
    <col min="10250" max="10250" width="15.5703125" customWidth="1"/>
    <col min="10251" max="10251" width="14.28515625" customWidth="1"/>
    <col min="10497" max="10497" width="13.5703125" customWidth="1"/>
    <col min="10498" max="10498" width="12.85546875" customWidth="1"/>
    <col min="10500" max="10500" width="15.5703125" customWidth="1"/>
    <col min="10501" max="10501" width="17" customWidth="1"/>
    <col min="10503" max="10503" width="14.85546875" customWidth="1"/>
    <col min="10504" max="10504" width="12.7109375" customWidth="1"/>
    <col min="10506" max="10506" width="15.5703125" customWidth="1"/>
    <col min="10507" max="10507" width="14.28515625" customWidth="1"/>
    <col min="10753" max="10753" width="13.5703125" customWidth="1"/>
    <col min="10754" max="10754" width="12.85546875" customWidth="1"/>
    <col min="10756" max="10756" width="15.5703125" customWidth="1"/>
    <col min="10757" max="10757" width="17" customWidth="1"/>
    <col min="10759" max="10759" width="14.85546875" customWidth="1"/>
    <col min="10760" max="10760" width="12.7109375" customWidth="1"/>
    <col min="10762" max="10762" width="15.5703125" customWidth="1"/>
    <col min="10763" max="10763" width="14.28515625" customWidth="1"/>
    <col min="11009" max="11009" width="13.5703125" customWidth="1"/>
    <col min="11010" max="11010" width="12.85546875" customWidth="1"/>
    <col min="11012" max="11012" width="15.5703125" customWidth="1"/>
    <col min="11013" max="11013" width="17" customWidth="1"/>
    <col min="11015" max="11015" width="14.85546875" customWidth="1"/>
    <col min="11016" max="11016" width="12.7109375" customWidth="1"/>
    <col min="11018" max="11018" width="15.5703125" customWidth="1"/>
    <col min="11019" max="11019" width="14.28515625" customWidth="1"/>
    <col min="11265" max="11265" width="13.5703125" customWidth="1"/>
    <col min="11266" max="11266" width="12.85546875" customWidth="1"/>
    <col min="11268" max="11268" width="15.5703125" customWidth="1"/>
    <col min="11269" max="11269" width="17" customWidth="1"/>
    <col min="11271" max="11271" width="14.85546875" customWidth="1"/>
    <col min="11272" max="11272" width="12.7109375" customWidth="1"/>
    <col min="11274" max="11274" width="15.5703125" customWidth="1"/>
    <col min="11275" max="11275" width="14.28515625" customWidth="1"/>
    <col min="11521" max="11521" width="13.5703125" customWidth="1"/>
    <col min="11522" max="11522" width="12.85546875" customWidth="1"/>
    <col min="11524" max="11524" width="15.5703125" customWidth="1"/>
    <col min="11525" max="11525" width="17" customWidth="1"/>
    <col min="11527" max="11527" width="14.85546875" customWidth="1"/>
    <col min="11528" max="11528" width="12.7109375" customWidth="1"/>
    <col min="11530" max="11530" width="15.5703125" customWidth="1"/>
    <col min="11531" max="11531" width="14.28515625" customWidth="1"/>
    <col min="11777" max="11777" width="13.5703125" customWidth="1"/>
    <col min="11778" max="11778" width="12.85546875" customWidth="1"/>
    <col min="11780" max="11780" width="15.5703125" customWidth="1"/>
    <col min="11781" max="11781" width="17" customWidth="1"/>
    <col min="11783" max="11783" width="14.85546875" customWidth="1"/>
    <col min="11784" max="11784" width="12.7109375" customWidth="1"/>
    <col min="11786" max="11786" width="15.5703125" customWidth="1"/>
    <col min="11787" max="11787" width="14.28515625" customWidth="1"/>
    <col min="12033" max="12033" width="13.5703125" customWidth="1"/>
    <col min="12034" max="12034" width="12.85546875" customWidth="1"/>
    <col min="12036" max="12036" width="15.5703125" customWidth="1"/>
    <col min="12037" max="12037" width="17" customWidth="1"/>
    <col min="12039" max="12039" width="14.85546875" customWidth="1"/>
    <col min="12040" max="12040" width="12.7109375" customWidth="1"/>
    <col min="12042" max="12042" width="15.5703125" customWidth="1"/>
    <col min="12043" max="12043" width="14.28515625" customWidth="1"/>
    <col min="12289" max="12289" width="13.5703125" customWidth="1"/>
    <col min="12290" max="12290" width="12.85546875" customWidth="1"/>
    <col min="12292" max="12292" width="15.5703125" customWidth="1"/>
    <col min="12293" max="12293" width="17" customWidth="1"/>
    <col min="12295" max="12295" width="14.85546875" customWidth="1"/>
    <col min="12296" max="12296" width="12.7109375" customWidth="1"/>
    <col min="12298" max="12298" width="15.5703125" customWidth="1"/>
    <col min="12299" max="12299" width="14.28515625" customWidth="1"/>
    <col min="12545" max="12545" width="13.5703125" customWidth="1"/>
    <col min="12546" max="12546" width="12.85546875" customWidth="1"/>
    <col min="12548" max="12548" width="15.5703125" customWidth="1"/>
    <col min="12549" max="12549" width="17" customWidth="1"/>
    <col min="12551" max="12551" width="14.85546875" customWidth="1"/>
    <col min="12552" max="12552" width="12.7109375" customWidth="1"/>
    <col min="12554" max="12554" width="15.5703125" customWidth="1"/>
    <col min="12555" max="12555" width="14.28515625" customWidth="1"/>
    <col min="12801" max="12801" width="13.5703125" customWidth="1"/>
    <col min="12802" max="12802" width="12.85546875" customWidth="1"/>
    <col min="12804" max="12804" width="15.5703125" customWidth="1"/>
    <col min="12805" max="12805" width="17" customWidth="1"/>
    <col min="12807" max="12807" width="14.85546875" customWidth="1"/>
    <col min="12808" max="12808" width="12.7109375" customWidth="1"/>
    <col min="12810" max="12810" width="15.5703125" customWidth="1"/>
    <col min="12811" max="12811" width="14.28515625" customWidth="1"/>
    <col min="13057" max="13057" width="13.5703125" customWidth="1"/>
    <col min="13058" max="13058" width="12.85546875" customWidth="1"/>
    <col min="13060" max="13060" width="15.5703125" customWidth="1"/>
    <col min="13061" max="13061" width="17" customWidth="1"/>
    <col min="13063" max="13063" width="14.85546875" customWidth="1"/>
    <col min="13064" max="13064" width="12.7109375" customWidth="1"/>
    <col min="13066" max="13066" width="15.5703125" customWidth="1"/>
    <col min="13067" max="13067" width="14.28515625" customWidth="1"/>
    <col min="13313" max="13313" width="13.5703125" customWidth="1"/>
    <col min="13314" max="13314" width="12.85546875" customWidth="1"/>
    <col min="13316" max="13316" width="15.5703125" customWidth="1"/>
    <col min="13317" max="13317" width="17" customWidth="1"/>
    <col min="13319" max="13319" width="14.85546875" customWidth="1"/>
    <col min="13320" max="13320" width="12.7109375" customWidth="1"/>
    <col min="13322" max="13322" width="15.5703125" customWidth="1"/>
    <col min="13323" max="13323" width="14.28515625" customWidth="1"/>
    <col min="13569" max="13569" width="13.5703125" customWidth="1"/>
    <col min="13570" max="13570" width="12.85546875" customWidth="1"/>
    <col min="13572" max="13572" width="15.5703125" customWidth="1"/>
    <col min="13573" max="13573" width="17" customWidth="1"/>
    <col min="13575" max="13575" width="14.85546875" customWidth="1"/>
    <col min="13576" max="13576" width="12.7109375" customWidth="1"/>
    <col min="13578" max="13578" width="15.5703125" customWidth="1"/>
    <col min="13579" max="13579" width="14.28515625" customWidth="1"/>
    <col min="13825" max="13825" width="13.5703125" customWidth="1"/>
    <col min="13826" max="13826" width="12.85546875" customWidth="1"/>
    <col min="13828" max="13828" width="15.5703125" customWidth="1"/>
    <col min="13829" max="13829" width="17" customWidth="1"/>
    <col min="13831" max="13831" width="14.85546875" customWidth="1"/>
    <col min="13832" max="13832" width="12.7109375" customWidth="1"/>
    <col min="13834" max="13834" width="15.5703125" customWidth="1"/>
    <col min="13835" max="13835" width="14.28515625" customWidth="1"/>
    <col min="14081" max="14081" width="13.5703125" customWidth="1"/>
    <col min="14082" max="14082" width="12.85546875" customWidth="1"/>
    <col min="14084" max="14084" width="15.5703125" customWidth="1"/>
    <col min="14085" max="14085" width="17" customWidth="1"/>
    <col min="14087" max="14087" width="14.85546875" customWidth="1"/>
    <col min="14088" max="14088" width="12.7109375" customWidth="1"/>
    <col min="14090" max="14090" width="15.5703125" customWidth="1"/>
    <col min="14091" max="14091" width="14.28515625" customWidth="1"/>
    <col min="14337" max="14337" width="13.5703125" customWidth="1"/>
    <col min="14338" max="14338" width="12.85546875" customWidth="1"/>
    <col min="14340" max="14340" width="15.5703125" customWidth="1"/>
    <col min="14341" max="14341" width="17" customWidth="1"/>
    <col min="14343" max="14343" width="14.85546875" customWidth="1"/>
    <col min="14344" max="14344" width="12.7109375" customWidth="1"/>
    <col min="14346" max="14346" width="15.5703125" customWidth="1"/>
    <col min="14347" max="14347" width="14.28515625" customWidth="1"/>
    <col min="14593" max="14593" width="13.5703125" customWidth="1"/>
    <col min="14594" max="14594" width="12.85546875" customWidth="1"/>
    <col min="14596" max="14596" width="15.5703125" customWidth="1"/>
    <col min="14597" max="14597" width="17" customWidth="1"/>
    <col min="14599" max="14599" width="14.85546875" customWidth="1"/>
    <col min="14600" max="14600" width="12.7109375" customWidth="1"/>
    <col min="14602" max="14602" width="15.5703125" customWidth="1"/>
    <col min="14603" max="14603" width="14.28515625" customWidth="1"/>
    <col min="14849" max="14849" width="13.5703125" customWidth="1"/>
    <col min="14850" max="14850" width="12.85546875" customWidth="1"/>
    <col min="14852" max="14852" width="15.5703125" customWidth="1"/>
    <col min="14853" max="14853" width="17" customWidth="1"/>
    <col min="14855" max="14855" width="14.85546875" customWidth="1"/>
    <col min="14856" max="14856" width="12.7109375" customWidth="1"/>
    <col min="14858" max="14858" width="15.5703125" customWidth="1"/>
    <col min="14859" max="14859" width="14.28515625" customWidth="1"/>
    <col min="15105" max="15105" width="13.5703125" customWidth="1"/>
    <col min="15106" max="15106" width="12.85546875" customWidth="1"/>
    <col min="15108" max="15108" width="15.5703125" customWidth="1"/>
    <col min="15109" max="15109" width="17" customWidth="1"/>
    <col min="15111" max="15111" width="14.85546875" customWidth="1"/>
    <col min="15112" max="15112" width="12.7109375" customWidth="1"/>
    <col min="15114" max="15114" width="15.5703125" customWidth="1"/>
    <col min="15115" max="15115" width="14.28515625" customWidth="1"/>
    <col min="15361" max="15361" width="13.5703125" customWidth="1"/>
    <col min="15362" max="15362" width="12.85546875" customWidth="1"/>
    <col min="15364" max="15364" width="15.5703125" customWidth="1"/>
    <col min="15365" max="15365" width="17" customWidth="1"/>
    <col min="15367" max="15367" width="14.85546875" customWidth="1"/>
    <col min="15368" max="15368" width="12.7109375" customWidth="1"/>
    <col min="15370" max="15370" width="15.5703125" customWidth="1"/>
    <col min="15371" max="15371" width="14.28515625" customWidth="1"/>
    <col min="15617" max="15617" width="13.5703125" customWidth="1"/>
    <col min="15618" max="15618" width="12.85546875" customWidth="1"/>
    <col min="15620" max="15620" width="15.5703125" customWidth="1"/>
    <col min="15621" max="15621" width="17" customWidth="1"/>
    <col min="15623" max="15623" width="14.85546875" customWidth="1"/>
    <col min="15624" max="15624" width="12.7109375" customWidth="1"/>
    <col min="15626" max="15626" width="15.5703125" customWidth="1"/>
    <col min="15627" max="15627" width="14.28515625" customWidth="1"/>
    <col min="15873" max="15873" width="13.5703125" customWidth="1"/>
    <col min="15874" max="15874" width="12.85546875" customWidth="1"/>
    <col min="15876" max="15876" width="15.5703125" customWidth="1"/>
    <col min="15877" max="15877" width="17" customWidth="1"/>
    <col min="15879" max="15879" width="14.85546875" customWidth="1"/>
    <col min="15880" max="15880" width="12.7109375" customWidth="1"/>
    <col min="15882" max="15882" width="15.5703125" customWidth="1"/>
    <col min="15883" max="15883" width="14.28515625" customWidth="1"/>
    <col min="16129" max="16129" width="13.5703125" customWidth="1"/>
    <col min="16130" max="16130" width="12.85546875" customWidth="1"/>
    <col min="16132" max="16132" width="15.5703125" customWidth="1"/>
    <col min="16133" max="16133" width="17" customWidth="1"/>
    <col min="16135" max="16135" width="14.85546875" customWidth="1"/>
    <col min="16136" max="16136" width="12.7109375" customWidth="1"/>
    <col min="16138" max="16138" width="15.5703125" customWidth="1"/>
    <col min="16139" max="16139" width="14.28515625" customWidth="1"/>
  </cols>
  <sheetData>
    <row r="1" spans="1:19">
      <c r="A1" s="3" t="s">
        <v>502</v>
      </c>
    </row>
    <row r="2" spans="1:19">
      <c r="A2" s="3" t="s">
        <v>63</v>
      </c>
    </row>
    <row r="3" spans="1:19">
      <c r="A3" s="1349" t="s">
        <v>8</v>
      </c>
      <c r="B3" s="1349" t="s">
        <v>387</v>
      </c>
      <c r="C3" s="1349" t="s">
        <v>50</v>
      </c>
      <c r="D3" s="1349"/>
      <c r="E3" s="1349"/>
      <c r="G3" s="5" t="s">
        <v>51</v>
      </c>
      <c r="H3" s="5"/>
      <c r="I3" s="5"/>
    </row>
    <row r="4" spans="1:19" ht="38.25" customHeight="1">
      <c r="A4" s="1349"/>
      <c r="B4" s="1349"/>
      <c r="C4" s="420" t="s">
        <v>52</v>
      </c>
      <c r="D4" s="420" t="s">
        <v>53</v>
      </c>
      <c r="E4" s="420" t="s">
        <v>54</v>
      </c>
      <c r="G4" s="5"/>
      <c r="H4" s="420" t="s">
        <v>55</v>
      </c>
      <c r="I4" s="420" t="s">
        <v>56</v>
      </c>
      <c r="N4" s="419" t="s">
        <v>388</v>
      </c>
      <c r="O4" s="419" t="s">
        <v>389</v>
      </c>
      <c r="P4" s="419"/>
      <c r="Q4" s="419" t="s">
        <v>390</v>
      </c>
      <c r="S4" s="419" t="s">
        <v>391</v>
      </c>
    </row>
    <row r="5" spans="1:19">
      <c r="A5" s="5">
        <v>2001</v>
      </c>
      <c r="B5" s="421">
        <v>3838.8001000000004</v>
      </c>
      <c r="C5" s="58">
        <v>1065.9998999999998</v>
      </c>
      <c r="D5" s="15">
        <v>134</v>
      </c>
      <c r="E5" s="14">
        <f t="shared" ref="E5:E10" si="0">+C5-D5</f>
        <v>931.9998999999998</v>
      </c>
      <c r="G5" s="58">
        <v>4999.8999999999996</v>
      </c>
      <c r="H5" s="59">
        <f t="shared" ref="H5:H12" si="1">+D5/G5</f>
        <v>2.6800536010720216E-2</v>
      </c>
      <c r="I5" s="59">
        <f t="shared" ref="I5:I12" si="2">+E5/G5</f>
        <v>0.18640370807416146</v>
      </c>
      <c r="K5">
        <f>(G5/B5)</f>
        <v>1.3024642778351494</v>
      </c>
      <c r="N5" s="422">
        <v>4594.4849999999997</v>
      </c>
      <c r="O5" s="423">
        <v>711.85604000000001</v>
      </c>
      <c r="P5" s="424">
        <f>O5/N5</f>
        <v>0.15493706911656041</v>
      </c>
      <c r="Q5" s="2">
        <f>E5-O5</f>
        <v>220.14385999999979</v>
      </c>
      <c r="S5" s="422">
        <f>N5-4523.791+50.196+1.412-117</f>
        <v>5.3019999999995093</v>
      </c>
    </row>
    <row r="6" spans="1:19">
      <c r="A6" s="5">
        <f>A5+1</f>
        <v>2002</v>
      </c>
      <c r="B6" s="421">
        <v>4014.5001000000002</v>
      </c>
      <c r="C6" s="58">
        <v>1108.6998999999996</v>
      </c>
      <c r="D6" s="15">
        <v>186.80153603999989</v>
      </c>
      <c r="E6" s="14">
        <f t="shared" si="0"/>
        <v>921.89836395999976</v>
      </c>
      <c r="G6" s="58">
        <v>5221.7</v>
      </c>
      <c r="H6" s="59">
        <f t="shared" si="1"/>
        <v>3.5774084309707549E-2</v>
      </c>
      <c r="I6" s="59">
        <f t="shared" si="2"/>
        <v>0.17655138440737686</v>
      </c>
      <c r="K6">
        <f t="shared" ref="K6:K12" si="3">(G6/B6)</f>
        <v>1.3007098941160817</v>
      </c>
      <c r="N6" s="422">
        <v>4777.6289999999999</v>
      </c>
      <c r="O6" s="423">
        <v>739.12437</v>
      </c>
      <c r="P6" s="425">
        <f t="shared" ref="P6:P14" si="4">O6/N6</f>
        <v>0.15470526698494169</v>
      </c>
      <c r="Q6" s="2">
        <f t="shared" ref="Q6:Q15" si="5">E6-O6</f>
        <v>182.77399395999976</v>
      </c>
    </row>
    <row r="7" spans="1:19">
      <c r="A7" s="5">
        <f t="shared" ref="A7:A16" si="6">A6+1</f>
        <v>2003</v>
      </c>
      <c r="B7" s="421">
        <v>4200.7001000000009</v>
      </c>
      <c r="C7" s="58">
        <v>1035.7421999999997</v>
      </c>
      <c r="D7" s="15">
        <v>150.85770638999992</v>
      </c>
      <c r="E7" s="14">
        <f t="shared" si="0"/>
        <v>884.88449360999971</v>
      </c>
      <c r="G7" s="58">
        <v>5342.6</v>
      </c>
      <c r="H7" s="59">
        <f t="shared" si="1"/>
        <v>2.8236758580092072E-2</v>
      </c>
      <c r="I7" s="59">
        <f t="shared" si="2"/>
        <v>0.165628063791038</v>
      </c>
      <c r="K7">
        <f t="shared" si="3"/>
        <v>1.2718356161631246</v>
      </c>
      <c r="N7" s="422">
        <v>4954.799</v>
      </c>
      <c r="O7" s="423">
        <v>765.92899999999997</v>
      </c>
      <c r="P7" s="425">
        <f t="shared" si="4"/>
        <v>0.15458326361977548</v>
      </c>
      <c r="Q7" s="2">
        <f t="shared" si="5"/>
        <v>118.95549360999973</v>
      </c>
    </row>
    <row r="8" spans="1:19">
      <c r="A8" s="5">
        <f t="shared" si="6"/>
        <v>2004</v>
      </c>
      <c r="B8" s="421">
        <v>4475.7001</v>
      </c>
      <c r="C8" s="58">
        <v>975.79990000000089</v>
      </c>
      <c r="D8" s="15">
        <v>184.23</v>
      </c>
      <c r="E8" s="14">
        <f t="shared" si="0"/>
        <v>791.56990000000087</v>
      </c>
      <c r="G8" s="58">
        <v>5571</v>
      </c>
      <c r="H8" s="59">
        <f t="shared" si="1"/>
        <v>3.3069466882067848E-2</v>
      </c>
      <c r="I8" s="59">
        <f t="shared" si="2"/>
        <v>0.14208757853168208</v>
      </c>
      <c r="K8">
        <f t="shared" si="3"/>
        <v>1.2447214682681711</v>
      </c>
      <c r="N8" s="422">
        <v>5117.0280000000002</v>
      </c>
      <c r="O8" s="423">
        <v>659.78800000000001</v>
      </c>
      <c r="P8" s="425">
        <f t="shared" si="4"/>
        <v>0.12893968921022125</v>
      </c>
      <c r="Q8" s="2">
        <f t="shared" si="5"/>
        <v>131.78190000000086</v>
      </c>
    </row>
    <row r="9" spans="1:19">
      <c r="A9" s="5">
        <f t="shared" si="6"/>
        <v>2005</v>
      </c>
      <c r="B9" s="421">
        <v>4658.2001</v>
      </c>
      <c r="C9" s="58">
        <v>930.19990000000053</v>
      </c>
      <c r="D9" s="15">
        <v>155.52195999999998</v>
      </c>
      <c r="E9" s="14">
        <f t="shared" si="0"/>
        <v>774.67794000000049</v>
      </c>
      <c r="G9" s="58">
        <v>5711</v>
      </c>
      <c r="H9" s="59">
        <f t="shared" si="1"/>
        <v>2.723200140080546E-2</v>
      </c>
      <c r="I9" s="59">
        <f t="shared" si="2"/>
        <v>0.13564663631588172</v>
      </c>
      <c r="K9">
        <f t="shared" si="3"/>
        <v>1.2260100204797986</v>
      </c>
      <c r="N9" s="422">
        <v>5256.9719999999998</v>
      </c>
      <c r="O9" s="423">
        <v>599.63199999999995</v>
      </c>
      <c r="P9" s="425">
        <f t="shared" si="4"/>
        <v>0.11406414186721937</v>
      </c>
      <c r="Q9" s="2">
        <f t="shared" si="5"/>
        <v>175.04594000000054</v>
      </c>
    </row>
    <row r="10" spans="1:19">
      <c r="A10" s="5">
        <f t="shared" si="6"/>
        <v>2006</v>
      </c>
      <c r="B10" s="421">
        <v>4813.3401000000003</v>
      </c>
      <c r="C10" s="58">
        <v>927.75989000000027</v>
      </c>
      <c r="D10" s="94">
        <v>114.946</v>
      </c>
      <c r="E10" s="14">
        <f t="shared" si="0"/>
        <v>812.81389000000024</v>
      </c>
      <c r="F10" s="2"/>
      <c r="G10" s="58">
        <v>5861.3</v>
      </c>
      <c r="H10" s="59">
        <f t="shared" si="1"/>
        <v>1.9611007796905121E-2</v>
      </c>
      <c r="I10" s="59">
        <f t="shared" si="2"/>
        <v>0.13867467797246349</v>
      </c>
      <c r="K10">
        <f t="shared" si="3"/>
        <v>1.2177198947566577</v>
      </c>
      <c r="N10" s="422">
        <v>5540.2809999999999</v>
      </c>
      <c r="O10" s="423">
        <v>654.93100000000004</v>
      </c>
      <c r="P10" s="425">
        <f t="shared" si="4"/>
        <v>0.11821259607590302</v>
      </c>
      <c r="Q10" s="2">
        <f t="shared" si="5"/>
        <v>157.8828900000002</v>
      </c>
    </row>
    <row r="11" spans="1:19">
      <c r="A11" s="5">
        <f t="shared" si="6"/>
        <v>2007</v>
      </c>
      <c r="B11" s="421">
        <v>5174.2001</v>
      </c>
      <c r="C11" s="58">
        <v>910.8998900000006</v>
      </c>
      <c r="D11" s="94">
        <v>121.27554225919999</v>
      </c>
      <c r="E11" s="14">
        <f>+C11-D11</f>
        <v>789.62434774080066</v>
      </c>
      <c r="F11" s="96"/>
      <c r="G11" s="58">
        <v>6208.8</v>
      </c>
      <c r="H11" s="59">
        <f t="shared" si="1"/>
        <v>1.9532847290813039E-2</v>
      </c>
      <c r="I11" s="59">
        <f t="shared" si="2"/>
        <v>0.12717825469346744</v>
      </c>
      <c r="K11">
        <f t="shared" si="3"/>
        <v>1.199953592826841</v>
      </c>
      <c r="N11" s="422">
        <v>5798.8810000000003</v>
      </c>
      <c r="O11" s="423">
        <v>595.53300000000002</v>
      </c>
      <c r="P11" s="425">
        <f t="shared" si="4"/>
        <v>0.10269791706365418</v>
      </c>
      <c r="Q11" s="2">
        <f t="shared" si="5"/>
        <v>194.09134774080064</v>
      </c>
    </row>
    <row r="12" spans="1:19">
      <c r="A12" s="5">
        <f t="shared" si="6"/>
        <v>2008</v>
      </c>
      <c r="B12" s="421">
        <v>5320.3901000000005</v>
      </c>
      <c r="C12" s="58">
        <v>924.21389999999974</v>
      </c>
      <c r="D12" s="94">
        <v>149.66512</v>
      </c>
      <c r="E12" s="14">
        <f t="shared" ref="E12:E13" si="7">+C12-D12</f>
        <v>774.54877999999974</v>
      </c>
      <c r="F12" s="96"/>
      <c r="G12" s="58">
        <v>6386.4</v>
      </c>
      <c r="H12" s="59">
        <f t="shared" si="1"/>
        <v>2.3434974320430919E-2</v>
      </c>
      <c r="I12" s="59">
        <f t="shared" si="2"/>
        <v>0.12128096893398468</v>
      </c>
      <c r="K12">
        <f t="shared" si="3"/>
        <v>1.2003631087126485</v>
      </c>
      <c r="N12" s="422">
        <v>5963.7460000000001</v>
      </c>
      <c r="O12" s="423">
        <v>688.40472999999997</v>
      </c>
      <c r="P12" s="425">
        <f t="shared" si="4"/>
        <v>0.11543159785812473</v>
      </c>
      <c r="Q12" s="2">
        <f t="shared" si="5"/>
        <v>86.144049999999766</v>
      </c>
    </row>
    <row r="13" spans="1:19">
      <c r="A13" s="5">
        <f t="shared" si="6"/>
        <v>2009</v>
      </c>
      <c r="B13" s="421">
        <v>5601.7539999999999</v>
      </c>
      <c r="C13" s="58">
        <v>1015.7460000000001</v>
      </c>
      <c r="D13" s="94">
        <v>126.95</v>
      </c>
      <c r="E13" s="14">
        <f t="shared" si="7"/>
        <v>888.79600000000005</v>
      </c>
      <c r="F13" s="96"/>
      <c r="G13" s="58">
        <v>6753.7</v>
      </c>
      <c r="H13" s="59">
        <f>+D13/G13</f>
        <v>1.8797103809763537E-2</v>
      </c>
      <c r="I13" s="59">
        <f>+E13/G13</f>
        <v>0.13160134444822838</v>
      </c>
      <c r="K13">
        <f>(G13/B13)</f>
        <v>1.2056402333983249</v>
      </c>
      <c r="N13" s="422">
        <v>6295.71</v>
      </c>
      <c r="O13" s="423">
        <v>639.1895348837204</v>
      </c>
      <c r="P13" s="425">
        <f t="shared" si="4"/>
        <v>0.10152779192239166</v>
      </c>
      <c r="Q13" s="2">
        <f t="shared" si="5"/>
        <v>249.60646511627965</v>
      </c>
    </row>
    <row r="14" spans="1:19">
      <c r="A14" s="5">
        <f t="shared" si="6"/>
        <v>2010</v>
      </c>
      <c r="B14" s="421">
        <v>6093.5000000000009</v>
      </c>
      <c r="C14" s="58">
        <v>1057.8000000000011</v>
      </c>
      <c r="D14" s="94">
        <v>142.03100000000001</v>
      </c>
      <c r="E14" s="14">
        <f>+C14-D14</f>
        <v>915.76900000000114</v>
      </c>
      <c r="F14" s="96"/>
      <c r="G14" s="58">
        <v>7290.3</v>
      </c>
      <c r="H14" s="59">
        <f>+D14/G14</f>
        <v>1.9482188661646298E-2</v>
      </c>
      <c r="I14" s="59">
        <f>+E14/G14</f>
        <v>0.1256147209305517</v>
      </c>
      <c r="K14">
        <f>(G14/B14)</f>
        <v>1.1964060064002624</v>
      </c>
      <c r="N14" s="422">
        <v>6593.88</v>
      </c>
      <c r="O14" s="423">
        <v>652.72999999999968</v>
      </c>
      <c r="P14" s="425">
        <f t="shared" si="4"/>
        <v>9.8990275831528585E-2</v>
      </c>
      <c r="Q14" s="2">
        <f t="shared" si="5"/>
        <v>263.03900000000147</v>
      </c>
    </row>
    <row r="15" spans="1:19">
      <c r="A15" s="5">
        <f t="shared" si="6"/>
        <v>2011</v>
      </c>
      <c r="B15" s="421">
        <v>6456.2999999999993</v>
      </c>
      <c r="C15" s="58">
        <v>1122.7000000000007</v>
      </c>
      <c r="D15" s="94">
        <v>165.12</v>
      </c>
      <c r="E15" s="14">
        <f>+C15-D15</f>
        <v>957.58000000000072</v>
      </c>
      <c r="F15" s="96"/>
      <c r="G15" s="58">
        <v>7722.5</v>
      </c>
      <c r="H15" s="59">
        <f>+D15/G15</f>
        <v>2.1381676918096473E-2</v>
      </c>
      <c r="I15" s="59">
        <f t="shared" ref="I15" si="8">+E15/G15</f>
        <v>0.12399870508255108</v>
      </c>
      <c r="K15">
        <f>(G15/B15)</f>
        <v>1.1961185198952962</v>
      </c>
      <c r="N15" s="422">
        <v>6891.4435737710028</v>
      </c>
      <c r="O15" s="423">
        <v>686.79042940652755</v>
      </c>
      <c r="P15" s="425">
        <f>O15/N15</f>
        <v>9.9658427447692988E-2</v>
      </c>
      <c r="Q15" s="2">
        <f t="shared" si="5"/>
        <v>270.78957059347317</v>
      </c>
    </row>
    <row r="16" spans="1:19">
      <c r="A16" s="909">
        <f t="shared" si="6"/>
        <v>2012</v>
      </c>
      <c r="B16" s="903">
        <v>6956.6014319452797</v>
      </c>
      <c r="C16" s="904">
        <v>1342.7388551488493</v>
      </c>
      <c r="D16" s="905">
        <v>275.93259581984091</v>
      </c>
      <c r="E16" s="905">
        <f>+C16-D16</f>
        <v>1066.8062593290083</v>
      </c>
      <c r="F16" s="96"/>
      <c r="G16" s="904">
        <v>8447.9901939010906</v>
      </c>
      <c r="H16" s="906">
        <f>+D16/G16</f>
        <v>3.2662513744280461E-2</v>
      </c>
      <c r="I16" s="906">
        <f>+E16/G16</f>
        <v>0.1262792965952037</v>
      </c>
      <c r="N16" s="422"/>
      <c r="O16" s="895"/>
      <c r="P16" s="425"/>
      <c r="Q16" s="2"/>
    </row>
    <row r="17" spans="1:16">
      <c r="A17" s="157"/>
      <c r="B17" s="158"/>
      <c r="C17" s="158"/>
      <c r="D17" s="159"/>
      <c r="E17" s="160"/>
      <c r="F17" s="96"/>
      <c r="G17" s="158"/>
      <c r="H17" s="161"/>
      <c r="I17" s="161"/>
      <c r="O17" s="422"/>
      <c r="P17" s="422"/>
    </row>
    <row r="18" spans="1:16">
      <c r="A18" s="3" t="s">
        <v>392</v>
      </c>
      <c r="K18">
        <f>AVERAGE(K5:K13)</f>
        <v>1.2410464562840888</v>
      </c>
      <c r="L18">
        <f>AVERAGE(K9:K13)</f>
        <v>1.2099373700348544</v>
      </c>
    </row>
    <row r="19" spans="1:16">
      <c r="A19" s="1349" t="s">
        <v>159</v>
      </c>
      <c r="B19" s="5"/>
      <c r="C19" s="420" t="s">
        <v>52</v>
      </c>
      <c r="D19" s="178" t="s">
        <v>57</v>
      </c>
      <c r="E19" s="178" t="s">
        <v>54</v>
      </c>
      <c r="F19" s="178" t="s">
        <v>58</v>
      </c>
      <c r="G19" s="178" t="s">
        <v>59</v>
      </c>
    </row>
    <row r="20" spans="1:16">
      <c r="A20" s="1349"/>
      <c r="B20" s="5"/>
      <c r="C20" s="65"/>
      <c r="D20" s="65"/>
      <c r="E20" s="65"/>
      <c r="F20" s="62"/>
      <c r="G20" s="61"/>
      <c r="L20" s="6"/>
    </row>
    <row r="21" spans="1:16">
      <c r="A21" s="63">
        <v>2001</v>
      </c>
      <c r="B21" s="5"/>
      <c r="C21" s="64">
        <f t="shared" ref="C21:C30" si="9">+C5/B5</f>
        <v>0.27769091180340433</v>
      </c>
      <c r="D21" s="59">
        <f t="shared" ref="D21:D32" si="10">+D5/B5</f>
        <v>3.490674078079762E-2</v>
      </c>
      <c r="E21" s="64">
        <f t="shared" ref="E21:E31" si="11">+E5/B5</f>
        <v>0.24278417102260669</v>
      </c>
      <c r="F21" s="41">
        <v>0.08</v>
      </c>
      <c r="G21" s="41">
        <f t="shared" ref="G21:G29" si="12">E21-F21</f>
        <v>0.16278417102260667</v>
      </c>
    </row>
    <row r="22" spans="1:16">
      <c r="A22" s="63">
        <f>A21+1</f>
        <v>2002</v>
      </c>
      <c r="B22" s="5"/>
      <c r="C22" s="64">
        <f t="shared" si="9"/>
        <v>0.27617383793314626</v>
      </c>
      <c r="D22" s="59">
        <f t="shared" si="10"/>
        <v>4.6531705414579481E-2</v>
      </c>
      <c r="E22" s="64">
        <f t="shared" si="11"/>
        <v>0.2296421325185668</v>
      </c>
      <c r="F22" s="41">
        <v>0.08</v>
      </c>
      <c r="G22" s="41">
        <f t="shared" si="12"/>
        <v>0.14964213251856678</v>
      </c>
      <c r="I22">
        <f>A22</f>
        <v>2002</v>
      </c>
      <c r="J22" s="440">
        <f t="shared" ref="J22:J32" si="13">C22/C21-1</f>
        <v>-5.4631743632003182E-3</v>
      </c>
      <c r="K22">
        <f>J22*100</f>
        <v>-0.54631743632003182</v>
      </c>
    </row>
    <row r="23" spans="1:16">
      <c r="A23" s="63">
        <f t="shared" ref="A23:A32" si="14">A22+1</f>
        <v>2003</v>
      </c>
      <c r="B23" s="5"/>
      <c r="C23" s="64">
        <f t="shared" si="9"/>
        <v>0.24656418581274095</v>
      </c>
      <c r="D23" s="59">
        <f t="shared" si="10"/>
        <v>3.5912515247160798E-2</v>
      </c>
      <c r="E23" s="64">
        <f t="shared" si="11"/>
        <v>0.21065167056558012</v>
      </c>
      <c r="F23" s="41">
        <v>0.08</v>
      </c>
      <c r="G23" s="41">
        <f t="shared" si="12"/>
        <v>0.13065167056558014</v>
      </c>
      <c r="I23">
        <f t="shared" ref="I23:I32" si="15">A23</f>
        <v>2003</v>
      </c>
      <c r="J23" s="440">
        <f t="shared" si="13"/>
        <v>-0.10721381989691925</v>
      </c>
      <c r="K23">
        <f t="shared" ref="K23:K28" si="16">J23*100</f>
        <v>-10.721381989691924</v>
      </c>
    </row>
    <row r="24" spans="1:16">
      <c r="A24" s="63">
        <f t="shared" si="14"/>
        <v>2004</v>
      </c>
      <c r="B24" s="5"/>
      <c r="C24" s="64">
        <f t="shared" si="9"/>
        <v>0.21802173474491754</v>
      </c>
      <c r="D24" s="59">
        <f t="shared" si="10"/>
        <v>4.1162275372293153E-2</v>
      </c>
      <c r="E24" s="64">
        <f t="shared" si="11"/>
        <v>0.17685945937262437</v>
      </c>
      <c r="F24" s="41">
        <v>0.08</v>
      </c>
      <c r="G24" s="41">
        <f t="shared" si="12"/>
        <v>9.6859459372624371E-2</v>
      </c>
      <c r="I24">
        <f t="shared" si="15"/>
        <v>2004</v>
      </c>
      <c r="J24" s="440">
        <f t="shared" si="13"/>
        <v>-0.11576073375676976</v>
      </c>
      <c r="K24">
        <f t="shared" si="16"/>
        <v>-11.576073375676977</v>
      </c>
    </row>
    <row r="25" spans="1:16">
      <c r="A25" s="63">
        <f t="shared" si="14"/>
        <v>2005</v>
      </c>
      <c r="B25" s="5"/>
      <c r="C25" s="64">
        <f t="shared" si="9"/>
        <v>0.19969084196275735</v>
      </c>
      <c r="D25" s="59">
        <f t="shared" si="10"/>
        <v>3.3386706595107403E-2</v>
      </c>
      <c r="E25" s="64">
        <f t="shared" si="11"/>
        <v>0.16630413536764993</v>
      </c>
      <c r="F25" s="41">
        <v>0.08</v>
      </c>
      <c r="G25" s="41">
        <f t="shared" si="12"/>
        <v>8.6304135367649928E-2</v>
      </c>
      <c r="I25">
        <f t="shared" si="15"/>
        <v>2005</v>
      </c>
      <c r="J25" s="440">
        <f t="shared" si="13"/>
        <v>-8.4078281477794281E-2</v>
      </c>
      <c r="K25">
        <f t="shared" si="16"/>
        <v>-8.4078281477794281</v>
      </c>
    </row>
    <row r="26" spans="1:16">
      <c r="A26" s="63">
        <f t="shared" si="14"/>
        <v>2006</v>
      </c>
      <c r="B26" s="5"/>
      <c r="C26" s="64">
        <f t="shared" si="9"/>
        <v>0.19274762861656092</v>
      </c>
      <c r="D26" s="59">
        <f t="shared" si="10"/>
        <v>2.3880714350519298E-2</v>
      </c>
      <c r="E26" s="64">
        <f t="shared" si="11"/>
        <v>0.16886691426604161</v>
      </c>
      <c r="F26" s="41">
        <v>7.6733999999999997E-2</v>
      </c>
      <c r="G26" s="41">
        <f t="shared" si="12"/>
        <v>9.2132914266041616E-2</v>
      </c>
      <c r="I26">
        <f t="shared" si="15"/>
        <v>2006</v>
      </c>
      <c r="J26" s="440">
        <f t="shared" si="13"/>
        <v>-3.4769813567571362E-2</v>
      </c>
      <c r="K26">
        <f t="shared" si="16"/>
        <v>-3.4769813567571362</v>
      </c>
    </row>
    <row r="27" spans="1:16">
      <c r="A27" s="63">
        <f t="shared" si="14"/>
        <v>2007</v>
      </c>
      <c r="B27" s="5"/>
      <c r="C27" s="64">
        <f t="shared" si="9"/>
        <v>0.17604651393362244</v>
      </c>
      <c r="D27" s="59">
        <f t="shared" si="10"/>
        <v>2.3438510284749133E-2</v>
      </c>
      <c r="E27" s="64">
        <f t="shared" si="11"/>
        <v>0.15260800364887331</v>
      </c>
      <c r="F27" s="41">
        <v>7.6646999999999993E-2</v>
      </c>
      <c r="G27" s="41">
        <f t="shared" si="12"/>
        <v>7.5961003648873315E-2</v>
      </c>
      <c r="I27">
        <f t="shared" si="15"/>
        <v>2007</v>
      </c>
      <c r="J27" s="440">
        <f t="shared" si="13"/>
        <v>-8.6647575395921161E-2</v>
      </c>
      <c r="K27">
        <f t="shared" si="16"/>
        <v>-8.6647575395921166</v>
      </c>
    </row>
    <row r="28" spans="1:16">
      <c r="A28" s="63">
        <f t="shared" si="14"/>
        <v>2008</v>
      </c>
      <c r="B28" s="5"/>
      <c r="C28" s="64">
        <f t="shared" si="9"/>
        <v>0.17371167952515354</v>
      </c>
      <c r="D28" s="59">
        <f t="shared" si="10"/>
        <v>2.8130478627873545E-2</v>
      </c>
      <c r="E28" s="59">
        <f t="shared" si="11"/>
        <v>0.14558120089727999</v>
      </c>
      <c r="F28" s="64">
        <v>7.6560000000000003E-2</v>
      </c>
      <c r="G28" s="64">
        <f t="shared" si="12"/>
        <v>6.9021200897279991E-2</v>
      </c>
      <c r="I28">
        <f t="shared" si="15"/>
        <v>2008</v>
      </c>
      <c r="J28" s="440">
        <f t="shared" si="13"/>
        <v>-1.3262599504522132E-2</v>
      </c>
      <c r="K28">
        <f t="shared" si="16"/>
        <v>-1.3262599504522132</v>
      </c>
    </row>
    <row r="29" spans="1:16">
      <c r="A29" s="63">
        <f t="shared" si="14"/>
        <v>2009</v>
      </c>
      <c r="B29" s="5"/>
      <c r="C29" s="64">
        <f t="shared" si="9"/>
        <v>0.18132642026051127</v>
      </c>
      <c r="D29" s="59">
        <f t="shared" si="10"/>
        <v>2.2662544624415852E-2</v>
      </c>
      <c r="E29" s="59">
        <f t="shared" si="11"/>
        <v>0.15866387563609541</v>
      </c>
      <c r="F29" s="64">
        <v>7.6385999999999996E-2</v>
      </c>
      <c r="G29" s="64">
        <f t="shared" si="12"/>
        <v>8.2277875636095413E-2</v>
      </c>
      <c r="I29">
        <f t="shared" si="15"/>
        <v>2009</v>
      </c>
      <c r="J29" s="440">
        <f>C29/C28-1</f>
        <v>4.3835513859360908E-2</v>
      </c>
      <c r="K29">
        <f>J29*100</f>
        <v>4.3835513859360908</v>
      </c>
    </row>
    <row r="30" spans="1:16">
      <c r="A30" s="63">
        <f t="shared" si="14"/>
        <v>2010</v>
      </c>
      <c r="B30" s="95"/>
      <c r="C30" s="64">
        <f t="shared" si="9"/>
        <v>0.17359481414622155</v>
      </c>
      <c r="D30" s="59">
        <f t="shared" si="10"/>
        <v>2.330860753261672E-2</v>
      </c>
      <c r="E30" s="59">
        <f>+E14/B14</f>
        <v>0.15028620661360484</v>
      </c>
      <c r="F30" s="64">
        <v>7.6385999999999996E-2</v>
      </c>
      <c r="G30" s="64">
        <f>E30-F30</f>
        <v>7.3900206613604844E-2</v>
      </c>
      <c r="I30">
        <f t="shared" si="15"/>
        <v>2010</v>
      </c>
      <c r="J30" s="440">
        <f t="shared" si="13"/>
        <v>-4.2639159275199567E-2</v>
      </c>
      <c r="K30">
        <f>J30*100</f>
        <v>-4.2639159275199567</v>
      </c>
    </row>
    <row r="31" spans="1:16">
      <c r="A31" s="63">
        <f t="shared" si="14"/>
        <v>2011</v>
      </c>
      <c r="B31" s="95"/>
      <c r="C31" s="64">
        <f>+C15/B15</f>
        <v>0.17389216734042731</v>
      </c>
      <c r="D31" s="59">
        <f>+D15/B15</f>
        <v>2.5575019748152971E-2</v>
      </c>
      <c r="E31" s="59">
        <f t="shared" si="11"/>
        <v>0.14831714759227435</v>
      </c>
      <c r="F31" s="64">
        <v>7.6385999999999996E-2</v>
      </c>
      <c r="G31" s="64">
        <f>E31-F31</f>
        <v>7.1931147592274355E-2</v>
      </c>
      <c r="I31">
        <f t="shared" si="15"/>
        <v>2011</v>
      </c>
      <c r="J31" s="440">
        <f t="shared" si="13"/>
        <v>1.7129151908610307E-3</v>
      </c>
      <c r="K31">
        <f>J31*100</f>
        <v>0.17129151908610307</v>
      </c>
    </row>
    <row r="32" spans="1:16">
      <c r="A32" s="909">
        <f t="shared" si="14"/>
        <v>2012</v>
      </c>
      <c r="B32" s="95"/>
      <c r="C32" s="907">
        <f>+C16/B16</f>
        <v>0.19301649926110231</v>
      </c>
      <c r="D32" s="906">
        <f t="shared" si="10"/>
        <v>3.9664856254770613E-2</v>
      </c>
      <c r="E32" s="906">
        <f>+E16/B16</f>
        <v>0.15335164300633167</v>
      </c>
      <c r="F32" s="907">
        <v>7.6385999999999996E-2</v>
      </c>
      <c r="G32" s="907">
        <f>E32-F32</f>
        <v>7.6965643006331672E-2</v>
      </c>
      <c r="I32">
        <f t="shared" si="15"/>
        <v>2012</v>
      </c>
      <c r="J32" s="440">
        <f t="shared" si="13"/>
        <v>0.10997811007344249</v>
      </c>
      <c r="K32">
        <f>J32*100</f>
        <v>10.99781100734425</v>
      </c>
    </row>
    <row r="33" spans="1:14">
      <c r="A33" s="98"/>
      <c r="B33" s="95"/>
      <c r="C33" s="99"/>
      <c r="D33" s="97"/>
      <c r="E33" s="99"/>
      <c r="F33" s="427"/>
      <c r="G33" s="428"/>
      <c r="I33" s="426"/>
    </row>
    <row r="34" spans="1:14">
      <c r="A34" s="1" t="s">
        <v>1</v>
      </c>
      <c r="B34" s="5"/>
      <c r="C34" s="64"/>
      <c r="D34" s="59"/>
      <c r="E34" s="64"/>
      <c r="F34" s="5"/>
      <c r="G34" s="61"/>
    </row>
    <row r="35" spans="1:14">
      <c r="A35" s="5"/>
      <c r="B35" s="66" t="s">
        <v>402</v>
      </c>
      <c r="C35" s="67">
        <f>AVERAGE(C21:C31)</f>
        <v>0.20813279418904215</v>
      </c>
      <c r="D35" s="67">
        <f>AVERAGE(D21:D31)</f>
        <v>3.080871077984236E-2</v>
      </c>
      <c r="E35" s="67">
        <f>AVERAGE(E21:E31)</f>
        <v>0.17732408340919975</v>
      </c>
      <c r="F35" s="67">
        <f>AVERAGE(F21:F31)</f>
        <v>7.8099909090909081E-2</v>
      </c>
      <c r="G35" s="67">
        <f>AVERAGE(G21:G31)</f>
        <v>9.922417431829067E-2</v>
      </c>
    </row>
    <row r="36" spans="1:14">
      <c r="A36" s="5"/>
      <c r="B36" s="162" t="s">
        <v>241</v>
      </c>
      <c r="C36" s="41">
        <f>AVERAGE(C21:C25)</f>
        <v>0.2436283024513933</v>
      </c>
      <c r="D36" s="61">
        <f>AVERAGE(D21:D25)</f>
        <v>3.8379988681987685E-2</v>
      </c>
      <c r="E36" s="61">
        <f>AVERAGE(E21:E25)</f>
        <v>0.20524831376940558</v>
      </c>
      <c r="F36" s="61">
        <f>AVERAGE(F21:F25)</f>
        <v>0.08</v>
      </c>
      <c r="G36" s="61">
        <f>AVERAGE(G21:G25)</f>
        <v>0.12524831376940557</v>
      </c>
      <c r="N36">
        <v>1E-3</v>
      </c>
    </row>
    <row r="37" spans="1:14">
      <c r="A37" s="95"/>
      <c r="B37" s="162" t="s">
        <v>393</v>
      </c>
      <c r="C37" s="41">
        <f>AVERAGE(C26:C30)</f>
        <v>0.17948541129641396</v>
      </c>
      <c r="D37" s="61">
        <f>AVERAGE(D26:D30)</f>
        <v>2.4284171084034908E-2</v>
      </c>
      <c r="E37" s="61">
        <f>AVERAGE(E26:E30)</f>
        <v>0.15520124021237902</v>
      </c>
      <c r="F37" s="61">
        <f>AVERAGE(F26:F30)</f>
        <v>7.6542600000000002E-2</v>
      </c>
      <c r="G37" s="61">
        <f>AVERAGE(G26:G30)</f>
        <v>7.8658640212379033E-2</v>
      </c>
    </row>
    <row r="38" spans="1:14">
      <c r="A38" s="95"/>
      <c r="B38" s="896" t="s">
        <v>531</v>
      </c>
      <c r="C38" s="41">
        <f t="shared" ref="C38:G39" si="17">AVERAGE(C31)</f>
        <v>0.17389216734042731</v>
      </c>
      <c r="D38" s="61">
        <f t="shared" si="17"/>
        <v>2.5575019748152971E-2</v>
      </c>
      <c r="E38" s="61">
        <f t="shared" si="17"/>
        <v>0.14831714759227435</v>
      </c>
      <c r="F38" s="61">
        <f t="shared" si="17"/>
        <v>7.6385999999999996E-2</v>
      </c>
      <c r="G38" s="61">
        <f t="shared" si="17"/>
        <v>7.1931147592274355E-2</v>
      </c>
    </row>
    <row r="39" spans="1:14">
      <c r="A39" s="95"/>
      <c r="B39" s="908">
        <v>2012</v>
      </c>
      <c r="C39" s="901">
        <f t="shared" si="17"/>
        <v>0.19301649926110231</v>
      </c>
      <c r="D39" s="901">
        <f t="shared" si="17"/>
        <v>3.9664856254770613E-2</v>
      </c>
      <c r="E39" s="901">
        <f t="shared" si="17"/>
        <v>0.15335164300633167</v>
      </c>
      <c r="F39" s="901">
        <f t="shared" si="17"/>
        <v>7.6385999999999996E-2</v>
      </c>
      <c r="G39" s="901">
        <f t="shared" si="17"/>
        <v>7.6965643006331672E-2</v>
      </c>
    </row>
    <row r="41" spans="1:14">
      <c r="A41" s="100" t="s">
        <v>60</v>
      </c>
      <c r="B41" s="88"/>
      <c r="C41" s="88"/>
      <c r="D41" s="88"/>
      <c r="E41" s="88"/>
      <c r="F41" s="897" t="s">
        <v>534</v>
      </c>
      <c r="G41" s="101"/>
    </row>
    <row r="42" spans="1:14">
      <c r="A42" s="179" t="s">
        <v>533</v>
      </c>
      <c r="B42" s="9"/>
      <c r="C42" s="9"/>
      <c r="D42" s="9"/>
      <c r="E42" s="429">
        <v>7.0000000000000007E-2</v>
      </c>
      <c r="F42" s="439">
        <f>RATE(2016-2012,,-3.97,7)</f>
        <v>0.15233003918310919</v>
      </c>
      <c r="G42" s="320"/>
    </row>
    <row r="43" spans="1:14">
      <c r="A43" s="179" t="s">
        <v>397</v>
      </c>
      <c r="B43" s="9"/>
      <c r="C43" s="9"/>
      <c r="D43" s="9"/>
      <c r="E43" s="429">
        <v>0.04</v>
      </c>
      <c r="F43" s="439">
        <f>RATE(2025-2016,,-6.99,4)</f>
        <v>-6.0136557631370539E-2</v>
      </c>
      <c r="G43" s="320"/>
    </row>
    <row r="44" spans="1:14">
      <c r="A44" s="179" t="s">
        <v>539</v>
      </c>
      <c r="B44" s="9"/>
      <c r="C44" s="9"/>
      <c r="D44" s="9"/>
      <c r="E44" s="429">
        <v>0.01</v>
      </c>
      <c r="F44" s="918">
        <f>RATE(2025-2016,,-7.39,6)</f>
        <v>-2.2886077685536438E-2</v>
      </c>
      <c r="G44" s="320"/>
    </row>
    <row r="45" spans="1:14">
      <c r="A45" s="179" t="s">
        <v>538</v>
      </c>
      <c r="B45" s="9"/>
      <c r="C45" s="9"/>
      <c r="D45" s="9"/>
      <c r="E45" s="431" t="s">
        <v>532</v>
      </c>
      <c r="F45" s="9"/>
      <c r="G45" s="320"/>
    </row>
    <row r="46" spans="1:14">
      <c r="A46" s="179"/>
      <c r="B46" s="430"/>
      <c r="C46" s="430"/>
      <c r="D46" s="430">
        <v>2025</v>
      </c>
      <c r="E46" s="914" t="s">
        <v>395</v>
      </c>
      <c r="G46" s="898"/>
    </row>
    <row r="47" spans="1:14">
      <c r="A47" s="432"/>
      <c r="B47" s="432"/>
      <c r="C47" s="433" t="s">
        <v>52</v>
      </c>
      <c r="D47" s="434" t="s">
        <v>57</v>
      </c>
      <c r="E47" s="915" t="s">
        <v>54</v>
      </c>
      <c r="F47" s="178" t="s">
        <v>58</v>
      </c>
      <c r="G47" s="916" t="s">
        <v>59</v>
      </c>
      <c r="I47">
        <f>I48-1</f>
        <v>2009</v>
      </c>
    </row>
    <row r="48" spans="1:14">
      <c r="A48" s="5">
        <v>2010</v>
      </c>
      <c r="B48" s="5"/>
      <c r="C48" s="60">
        <f>D48+E48</f>
        <v>0.17359481414622155</v>
      </c>
      <c r="D48" s="41">
        <f>D30</f>
        <v>2.330860753261672E-2</v>
      </c>
      <c r="E48" s="61">
        <f t="shared" ref="E48" si="18">F48+G48</f>
        <v>0.15028620661360484</v>
      </c>
      <c r="F48" s="917">
        <f t="shared" ref="F48:G50" si="19">F30</f>
        <v>7.6385999999999996E-2</v>
      </c>
      <c r="G48" s="41">
        <f t="shared" si="19"/>
        <v>7.3900206613604844E-2</v>
      </c>
      <c r="I48">
        <f>A48</f>
        <v>2010</v>
      </c>
      <c r="J48" s="440">
        <f>(C48/$C$29)-1</f>
        <v>-4.2639159275199567E-2</v>
      </c>
    </row>
    <row r="49" spans="1:10">
      <c r="A49" s="5">
        <v>2011</v>
      </c>
      <c r="B49" s="5"/>
      <c r="C49" s="60">
        <f t="shared" ref="C49:C57" si="20">D49+E49</f>
        <v>0.17389216734042731</v>
      </c>
      <c r="D49" s="41">
        <f>D31</f>
        <v>2.5575019748152971E-2</v>
      </c>
      <c r="E49" s="61">
        <f t="shared" ref="E49:E57" si="21">F49+G49</f>
        <v>0.14831714759227435</v>
      </c>
      <c r="F49" s="64">
        <f t="shared" si="19"/>
        <v>7.6385999999999996E-2</v>
      </c>
      <c r="G49" s="41">
        <f t="shared" si="19"/>
        <v>7.1931147592274355E-2</v>
      </c>
      <c r="I49">
        <f t="shared" ref="I49:I54" si="22">A49</f>
        <v>2011</v>
      </c>
      <c r="J49" s="440">
        <f t="shared" ref="J49:J54" si="23">(C49/C48)-1</f>
        <v>1.7129151908610307E-3</v>
      </c>
    </row>
    <row r="50" spans="1:10">
      <c r="A50" s="910">
        <f t="shared" ref="A50" si="24">A49+1</f>
        <v>2012</v>
      </c>
      <c r="B50" s="5"/>
      <c r="C50" s="900">
        <f t="shared" si="20"/>
        <v>0.19301649926110229</v>
      </c>
      <c r="D50" s="901">
        <f>D32</f>
        <v>3.9664856254770613E-2</v>
      </c>
      <c r="E50" s="902">
        <f t="shared" si="21"/>
        <v>0.15335164300633167</v>
      </c>
      <c r="F50" s="901">
        <f t="shared" si="19"/>
        <v>7.6385999999999996E-2</v>
      </c>
      <c r="G50" s="901">
        <f t="shared" si="19"/>
        <v>7.6965643006331672E-2</v>
      </c>
      <c r="I50">
        <f t="shared" si="22"/>
        <v>2012</v>
      </c>
      <c r="J50" s="440">
        <f t="shared" si="23"/>
        <v>0.10997811007344227</v>
      </c>
    </row>
    <row r="51" spans="1:10">
      <c r="A51" s="911">
        <v>2013</v>
      </c>
      <c r="B51" s="5"/>
      <c r="C51" s="436">
        <f t="shared" si="20"/>
        <v>0.19690299193852059</v>
      </c>
      <c r="D51" s="428">
        <f>D50*(1+$F$42)</f>
        <v>4.5707005362252216E-2</v>
      </c>
      <c r="E51" s="437">
        <f t="shared" si="21"/>
        <v>0.15119598657626837</v>
      </c>
      <c r="F51" s="427">
        <v>7.4999999999999997E-2</v>
      </c>
      <c r="G51" s="427">
        <f>G50*(1-$E$44)</f>
        <v>7.619598657626836E-2</v>
      </c>
      <c r="I51">
        <f t="shared" si="22"/>
        <v>2013</v>
      </c>
      <c r="J51" s="440">
        <f t="shared" si="23"/>
        <v>2.0135546403009075E-2</v>
      </c>
    </row>
    <row r="52" spans="1:10">
      <c r="A52" s="911">
        <v>2014</v>
      </c>
      <c r="B52" s="5"/>
      <c r="C52" s="436">
        <f t="shared" si="20"/>
        <v>0.20310358199053233</v>
      </c>
      <c r="D52" s="428">
        <f>D51*(1+$F$42)</f>
        <v>5.2669555280026682E-2</v>
      </c>
      <c r="E52" s="437">
        <f t="shared" si="21"/>
        <v>0.15043402671050565</v>
      </c>
      <c r="F52" s="427">
        <v>7.4999999999999997E-2</v>
      </c>
      <c r="G52" s="427">
        <f t="shared" ref="G52:G54" si="25">G51*(1-$E$44)</f>
        <v>7.5434026710505669E-2</v>
      </c>
      <c r="I52">
        <f t="shared" si="22"/>
        <v>2014</v>
      </c>
      <c r="J52" s="440">
        <f t="shared" si="23"/>
        <v>3.1490583210374679E-2</v>
      </c>
    </row>
    <row r="53" spans="1:10">
      <c r="A53" s="911">
        <v>2015</v>
      </c>
      <c r="B53" s="5"/>
      <c r="C53" s="436">
        <f t="shared" si="20"/>
        <v>0.21037239714299072</v>
      </c>
      <c r="D53" s="428">
        <f>D52*(1+$F$42)</f>
        <v>6.0692710699590084E-2</v>
      </c>
      <c r="E53" s="437">
        <f t="shared" si="21"/>
        <v>0.14967968644340063</v>
      </c>
      <c r="F53" s="427">
        <v>7.4999999999999997E-2</v>
      </c>
      <c r="G53" s="427">
        <f t="shared" si="25"/>
        <v>7.4679686443400617E-2</v>
      </c>
      <c r="I53">
        <f t="shared" si="22"/>
        <v>2015</v>
      </c>
      <c r="J53" s="440">
        <f t="shared" si="23"/>
        <v>3.5788709786503059E-2</v>
      </c>
    </row>
    <row r="54" spans="1:10">
      <c r="A54" s="911">
        <v>2016</v>
      </c>
      <c r="B54" s="5"/>
      <c r="C54" s="436">
        <f t="shared" si="20"/>
        <v>0.21887092327755436</v>
      </c>
      <c r="D54" s="428">
        <f>D53*(1+$F$42)</f>
        <v>6.9938033698587754E-2</v>
      </c>
      <c r="E54" s="437">
        <f t="shared" si="21"/>
        <v>0.14893288957896661</v>
      </c>
      <c r="F54" s="427">
        <v>7.4999999999999997E-2</v>
      </c>
      <c r="G54" s="427">
        <f t="shared" si="25"/>
        <v>7.3932889578966612E-2</v>
      </c>
      <c r="I54">
        <f t="shared" si="22"/>
        <v>2016</v>
      </c>
      <c r="J54" s="440">
        <f t="shared" si="23"/>
        <v>4.0397534324748685E-2</v>
      </c>
    </row>
    <row r="55" spans="1:10">
      <c r="A55" s="911">
        <v>2025</v>
      </c>
      <c r="B55" s="5"/>
      <c r="C55" s="436">
        <f t="shared" si="20"/>
        <v>0.16004846794613653</v>
      </c>
      <c r="D55" s="428">
        <f>D54*(1+F43)^(2025-2016)</f>
        <v>4.0021764634384997E-2</v>
      </c>
      <c r="E55" s="437">
        <f t="shared" si="21"/>
        <v>0.12002670331175154</v>
      </c>
      <c r="F55" s="427">
        <v>0.06</v>
      </c>
      <c r="G55" s="428">
        <f>G54*(1+F44)^(2025-2016)</f>
        <v>6.0026703311751542E-2</v>
      </c>
      <c r="I55" s="156" t="s">
        <v>335</v>
      </c>
      <c r="J55" s="440">
        <f>RATE(A55-A54,,-C54,C55)</f>
        <v>-3.4180567985789147E-2</v>
      </c>
    </row>
    <row r="56" spans="1:10">
      <c r="A56" s="911">
        <f>A55+1</f>
        <v>2026</v>
      </c>
      <c r="B56" s="5"/>
      <c r="C56" s="436">
        <f t="shared" si="20"/>
        <v>0.16068889820251631</v>
      </c>
      <c r="D56" s="99">
        <f>D55*(1+$D$60)</f>
        <v>4.1490563396466923E-2</v>
      </c>
      <c r="E56" s="437">
        <f t="shared" si="21"/>
        <v>0.11919833480604937</v>
      </c>
      <c r="F56" s="427">
        <v>0.06</v>
      </c>
      <c r="G56" s="99">
        <f>G55*(1+$G$60)</f>
        <v>5.9198334806049371E-2</v>
      </c>
      <c r="I56" s="156" t="s">
        <v>398</v>
      </c>
      <c r="J56" s="440">
        <f>(C56/C55)-1</f>
        <v>4.0014769563136987E-3</v>
      </c>
    </row>
    <row r="57" spans="1:10">
      <c r="A57" s="911">
        <f>A56+1</f>
        <v>2027</v>
      </c>
      <c r="B57" s="5"/>
      <c r="C57" s="436">
        <f t="shared" si="20"/>
        <v>0.16139466485884313</v>
      </c>
      <c r="D57" s="99">
        <f>D56*(1+$D$60)</f>
        <v>4.3013267073117256E-2</v>
      </c>
      <c r="E57" s="437">
        <f t="shared" si="21"/>
        <v>0.11838139778572589</v>
      </c>
      <c r="F57" s="427">
        <v>0.06</v>
      </c>
      <c r="G57" s="99">
        <f>G56*(1+$G$60)</f>
        <v>5.8381397785725889E-2</v>
      </c>
      <c r="I57" s="156" t="s">
        <v>535</v>
      </c>
      <c r="J57" s="440">
        <f>(C57/C56)-1</f>
        <v>4.3921307832812673E-3</v>
      </c>
    </row>
    <row r="58" spans="1:10">
      <c r="A58" s="5"/>
      <c r="B58" s="5"/>
      <c r="C58" s="436"/>
      <c r="D58" s="99"/>
      <c r="E58" s="61"/>
      <c r="F58" s="64"/>
      <c r="G58" s="64"/>
    </row>
    <row r="59" spans="1:10">
      <c r="A59" s="5" t="s">
        <v>61</v>
      </c>
      <c r="B59" s="5"/>
      <c r="C59" s="63"/>
      <c r="D59" s="102">
        <f>+D57-D48</f>
        <v>1.9704659540500536E-2</v>
      </c>
      <c r="E59" s="102">
        <f>+E57-E48</f>
        <v>-3.1904808827878953E-2</v>
      </c>
      <c r="F59" s="102">
        <f>+F57-F48</f>
        <v>-1.6385999999999998E-2</v>
      </c>
      <c r="G59" s="102">
        <f>+G57-G48</f>
        <v>-1.5518808827878955E-2</v>
      </c>
      <c r="I59" s="156"/>
      <c r="J59" s="435"/>
    </row>
    <row r="60" spans="1:10">
      <c r="A60" s="913" t="s">
        <v>536</v>
      </c>
      <c r="B60" s="5"/>
      <c r="C60" s="103">
        <f>ROUND((C57/C50)^(1/($A$57-$A$50))-1,4)</f>
        <v>-1.1900000000000001E-2</v>
      </c>
      <c r="D60" s="64">
        <f>ROUND((D55/D48)^(1/($A$55-$A$48))-1,4)</f>
        <v>3.6700000000000003E-2</v>
      </c>
      <c r="E60" s="64">
        <f>ROUND((E55/E48)^(1/($A$55-$A$48))-1,4)</f>
        <v>-1.49E-2</v>
      </c>
      <c r="F60" s="64">
        <f>ROUND((F55/F48)^(1/($A$55-A48))-1,4)</f>
        <v>-1.6E-2</v>
      </c>
      <c r="G60" s="64">
        <f>ROUND((G55/G48)^(1/($A$55-A48))-1,4)</f>
        <v>-1.38E-2</v>
      </c>
    </row>
    <row r="61" spans="1:10">
      <c r="A61" s="9"/>
      <c r="B61" s="9"/>
      <c r="C61" s="899"/>
      <c r="D61" s="429"/>
      <c r="E61" s="319"/>
      <c r="F61" s="429"/>
      <c r="G61" s="429"/>
    </row>
    <row r="63" spans="1:10">
      <c r="A63" s="100" t="s">
        <v>62</v>
      </c>
      <c r="B63" s="88"/>
      <c r="C63" s="88"/>
      <c r="D63" s="88"/>
      <c r="E63" s="88"/>
      <c r="F63" s="897" t="s">
        <v>534</v>
      </c>
      <c r="G63" s="101"/>
    </row>
    <row r="64" spans="1:10">
      <c r="A64" s="179" t="s">
        <v>396</v>
      </c>
      <c r="B64" s="9"/>
      <c r="C64" s="9"/>
      <c r="D64" s="9"/>
      <c r="E64" s="429">
        <v>7.0000000000000007E-2</v>
      </c>
      <c r="F64" s="439">
        <f>RATE(2016-2012,,-3.97,7)</f>
        <v>0.15233003918310919</v>
      </c>
      <c r="G64" s="320"/>
    </row>
    <row r="65" spans="1:11">
      <c r="A65" s="179" t="s">
        <v>397</v>
      </c>
      <c r="B65" s="9"/>
      <c r="C65" s="9"/>
      <c r="D65" s="9"/>
      <c r="E65" s="429">
        <v>0.04</v>
      </c>
      <c r="F65" s="439">
        <f>RATE(2025-2016,,-6.99,4)</f>
        <v>-6.0136557631370539E-2</v>
      </c>
      <c r="G65" s="320"/>
    </row>
    <row r="66" spans="1:11">
      <c r="A66" s="179" t="s">
        <v>537</v>
      </c>
      <c r="B66" s="9"/>
      <c r="C66" s="9"/>
      <c r="D66" s="9"/>
      <c r="E66" s="429">
        <v>0.01</v>
      </c>
      <c r="F66" s="918">
        <f>RATE(2025-2016,,-7.39,6)</f>
        <v>-2.2886077685536438E-2</v>
      </c>
      <c r="G66" s="320"/>
    </row>
    <row r="67" spans="1:11">
      <c r="A67" s="179" t="s">
        <v>538</v>
      </c>
      <c r="B67" s="9"/>
      <c r="C67" s="9"/>
      <c r="D67" s="9"/>
      <c r="E67" s="431" t="s">
        <v>532</v>
      </c>
      <c r="F67" s="9"/>
      <c r="G67" s="320"/>
    </row>
    <row r="68" spans="1:11">
      <c r="A68" s="179"/>
      <c r="B68" s="9"/>
      <c r="C68" s="9"/>
      <c r="D68" s="430">
        <v>2025</v>
      </c>
      <c r="E68" s="431" t="s">
        <v>395</v>
      </c>
      <c r="G68" s="320"/>
    </row>
    <row r="69" spans="1:11">
      <c r="A69" s="5"/>
      <c r="B69" s="5"/>
      <c r="C69" s="420" t="s">
        <v>52</v>
      </c>
      <c r="D69" s="178" t="s">
        <v>57</v>
      </c>
      <c r="E69" s="178" t="s">
        <v>54</v>
      </c>
      <c r="F69" s="178" t="s">
        <v>58</v>
      </c>
      <c r="G69" s="178" t="s">
        <v>59</v>
      </c>
      <c r="I69">
        <f>I70-1</f>
        <v>2009</v>
      </c>
    </row>
    <row r="70" spans="1:11">
      <c r="A70" s="5">
        <v>2010</v>
      </c>
      <c r="B70" s="5"/>
      <c r="C70" s="60">
        <f>D70+E70</f>
        <v>0.17359481414622155</v>
      </c>
      <c r="D70" s="41">
        <f>D30</f>
        <v>2.330860753261672E-2</v>
      </c>
      <c r="E70" s="61">
        <f t="shared" ref="E70:E71" si="26">F70+G70</f>
        <v>0.15028620661360484</v>
      </c>
      <c r="F70" s="64">
        <f t="shared" ref="F70:G72" si="27">F30</f>
        <v>7.6385999999999996E-2</v>
      </c>
      <c r="G70" s="41">
        <f t="shared" si="27"/>
        <v>7.3900206613604844E-2</v>
      </c>
      <c r="I70">
        <f t="shared" ref="I70:I75" si="28">A70</f>
        <v>2010</v>
      </c>
      <c r="J70" s="440">
        <f>(C70/$C$29)-1</f>
        <v>-4.2639159275199567E-2</v>
      </c>
      <c r="K70">
        <f>J70*100</f>
        <v>-4.2639159275199567</v>
      </c>
    </row>
    <row r="71" spans="1:11">
      <c r="A71" s="5">
        <v>2011</v>
      </c>
      <c r="B71" s="5"/>
      <c r="C71" s="60">
        <f t="shared" ref="C71:C72" si="29">D71+E71</f>
        <v>0.17389216734042731</v>
      </c>
      <c r="D71" s="41">
        <f>D31</f>
        <v>2.5575019748152971E-2</v>
      </c>
      <c r="E71" s="61">
        <f t="shared" si="26"/>
        <v>0.14831714759227435</v>
      </c>
      <c r="F71" s="64">
        <f t="shared" si="27"/>
        <v>7.6385999999999996E-2</v>
      </c>
      <c r="G71" s="41">
        <f t="shared" si="27"/>
        <v>7.1931147592274355E-2</v>
      </c>
      <c r="I71">
        <f t="shared" si="28"/>
        <v>2011</v>
      </c>
      <c r="J71" s="440">
        <f t="shared" ref="J71:J76" si="30">(C71/C70)-1</f>
        <v>1.7129151908610307E-3</v>
      </c>
      <c r="K71">
        <f t="shared" ref="K71:K79" si="31">J71*100</f>
        <v>0.17129151908610307</v>
      </c>
    </row>
    <row r="72" spans="1:11">
      <c r="A72" s="910">
        <v>2012</v>
      </c>
      <c r="B72" s="5"/>
      <c r="C72" s="900">
        <f t="shared" si="29"/>
        <v>0.19301649926110229</v>
      </c>
      <c r="D72" s="901">
        <f>D32</f>
        <v>3.9664856254770613E-2</v>
      </c>
      <c r="E72" s="902">
        <f>F72+G72</f>
        <v>0.15335164300633167</v>
      </c>
      <c r="F72" s="901">
        <f t="shared" si="27"/>
        <v>7.6385999999999996E-2</v>
      </c>
      <c r="G72" s="901">
        <f t="shared" si="27"/>
        <v>7.6965643006331672E-2</v>
      </c>
      <c r="I72">
        <f t="shared" si="28"/>
        <v>2012</v>
      </c>
      <c r="J72" s="440">
        <f t="shared" si="30"/>
        <v>0.10997811007344227</v>
      </c>
      <c r="K72">
        <f t="shared" si="31"/>
        <v>10.997811007344227</v>
      </c>
    </row>
    <row r="73" spans="1:11">
      <c r="A73" s="911">
        <v>2013</v>
      </c>
      <c r="B73" s="5"/>
      <c r="C73" s="436">
        <f t="shared" ref="C73:C79" si="32">D73+E73</f>
        <v>0.19690299193852059</v>
      </c>
      <c r="D73" s="99">
        <f t="shared" ref="D73:D75" si="33">D72*(1+$F$64)</f>
        <v>4.5707005362252216E-2</v>
      </c>
      <c r="E73" s="437">
        <f>F73+G73</f>
        <v>0.15119598657626837</v>
      </c>
      <c r="F73" s="99">
        <v>7.4999999999999997E-2</v>
      </c>
      <c r="G73" s="427">
        <f>G72*(1-$E$66)</f>
        <v>7.619598657626836E-2</v>
      </c>
      <c r="I73">
        <f t="shared" si="28"/>
        <v>2013</v>
      </c>
      <c r="J73" s="440">
        <f t="shared" si="30"/>
        <v>2.0135546403009075E-2</v>
      </c>
      <c r="K73">
        <f t="shared" si="31"/>
        <v>2.0135546403009075</v>
      </c>
    </row>
    <row r="74" spans="1:11">
      <c r="A74" s="911">
        <v>2014</v>
      </c>
      <c r="B74" s="5"/>
      <c r="C74" s="436">
        <f t="shared" si="32"/>
        <v>0.20310358199053233</v>
      </c>
      <c r="D74" s="99">
        <f t="shared" si="33"/>
        <v>5.2669555280026682E-2</v>
      </c>
      <c r="E74" s="437">
        <f>F74+G74</f>
        <v>0.15043402671050565</v>
      </c>
      <c r="F74" s="427">
        <v>7.4999999999999997E-2</v>
      </c>
      <c r="G74" s="427">
        <f t="shared" ref="G74:G75" si="34">G73*(1-$E$66)</f>
        <v>7.5434026710505669E-2</v>
      </c>
      <c r="I74">
        <f t="shared" si="28"/>
        <v>2014</v>
      </c>
      <c r="J74" s="440">
        <f t="shared" si="30"/>
        <v>3.1490583210374679E-2</v>
      </c>
      <c r="K74">
        <f t="shared" si="31"/>
        <v>3.1490583210374679</v>
      </c>
    </row>
    <row r="75" spans="1:11">
      <c r="A75" s="911">
        <v>2015</v>
      </c>
      <c r="B75" s="5"/>
      <c r="C75" s="436">
        <f t="shared" si="32"/>
        <v>0.21037239714299072</v>
      </c>
      <c r="D75" s="99">
        <f t="shared" si="33"/>
        <v>6.0692710699590084E-2</v>
      </c>
      <c r="E75" s="437">
        <f>F75+G75</f>
        <v>0.14967968644340063</v>
      </c>
      <c r="F75" s="427">
        <v>7.4999999999999997E-2</v>
      </c>
      <c r="G75" s="427">
        <f t="shared" si="34"/>
        <v>7.4679686443400617E-2</v>
      </c>
      <c r="I75">
        <f t="shared" si="28"/>
        <v>2015</v>
      </c>
      <c r="J75" s="440">
        <f t="shared" si="30"/>
        <v>3.5788709786503059E-2</v>
      </c>
      <c r="K75">
        <f t="shared" si="31"/>
        <v>3.5788709786503059</v>
      </c>
    </row>
    <row r="76" spans="1:11">
      <c r="A76" s="911">
        <v>2016</v>
      </c>
      <c r="B76" s="5"/>
      <c r="C76" s="436">
        <f t="shared" si="32"/>
        <v>0.21887092327755436</v>
      </c>
      <c r="D76" s="428">
        <f>D75*(1+$F$64)</f>
        <v>6.9938033698587754E-2</v>
      </c>
      <c r="E76" s="437">
        <f>F76+G76</f>
        <v>0.14893288957896661</v>
      </c>
      <c r="F76" s="427">
        <v>7.4999999999999997E-2</v>
      </c>
      <c r="G76" s="427">
        <f>G75*(1-$E$66)</f>
        <v>7.3932889578966612E-2</v>
      </c>
      <c r="I76">
        <f>A76</f>
        <v>2016</v>
      </c>
      <c r="J76" s="440">
        <f t="shared" si="30"/>
        <v>4.0397534324748685E-2</v>
      </c>
      <c r="K76">
        <f t="shared" si="31"/>
        <v>4.0397534324748685</v>
      </c>
    </row>
    <row r="77" spans="1:11">
      <c r="A77" s="911">
        <v>2025</v>
      </c>
      <c r="B77" s="5"/>
      <c r="C77" s="436">
        <f t="shared" si="32"/>
        <v>0.16002670331175153</v>
      </c>
      <c r="D77" s="99">
        <f>E65</f>
        <v>0.04</v>
      </c>
      <c r="E77" s="437">
        <f t="shared" ref="E77:E79" si="35">F77+G77</f>
        <v>0.12002670331175154</v>
      </c>
      <c r="F77" s="427">
        <v>0.06</v>
      </c>
      <c r="G77" s="428">
        <f>G76*(1+F66)^(2025-2016)</f>
        <v>6.0026703311751542E-2</v>
      </c>
      <c r="I77" s="156" t="s">
        <v>335</v>
      </c>
      <c r="J77" s="440">
        <f>RATE(A77-A76,,-C76,C77)</f>
        <v>-3.4195162160269431E-2</v>
      </c>
      <c r="K77">
        <f t="shared" si="31"/>
        <v>-3.4195162160269432</v>
      </c>
    </row>
    <row r="78" spans="1:11">
      <c r="A78" s="911">
        <f>A77+1</f>
        <v>2026</v>
      </c>
      <c r="B78" s="5"/>
      <c r="C78" s="436">
        <f t="shared" si="32"/>
        <v>0.16103833480604937</v>
      </c>
      <c r="D78" s="99">
        <f>D77*(1+$D$82)</f>
        <v>4.1840000000000002E-2</v>
      </c>
      <c r="E78" s="437">
        <f t="shared" si="35"/>
        <v>0.11919833480604937</v>
      </c>
      <c r="F78" s="427">
        <v>0.06</v>
      </c>
      <c r="G78" s="99">
        <f>G77*(1+$G$82)</f>
        <v>5.9198334806049371E-2</v>
      </c>
      <c r="I78" s="156" t="s">
        <v>398</v>
      </c>
      <c r="J78" s="440">
        <f>(C78/C77)-1</f>
        <v>6.3216417845404216E-3</v>
      </c>
      <c r="K78">
        <f t="shared" si="31"/>
        <v>0.63216417845404216</v>
      </c>
    </row>
    <row r="79" spans="1:11">
      <c r="A79" s="911">
        <f>A78+1</f>
        <v>2027</v>
      </c>
      <c r="B79" s="5"/>
      <c r="C79" s="436">
        <f t="shared" si="32"/>
        <v>0.16214603778572589</v>
      </c>
      <c r="D79" s="99">
        <f>D78*(1+$D$82)</f>
        <v>4.3764640000000007E-2</v>
      </c>
      <c r="E79" s="437">
        <f t="shared" si="35"/>
        <v>0.11838139778572589</v>
      </c>
      <c r="F79" s="427">
        <v>0.06</v>
      </c>
      <c r="G79" s="99">
        <f>G78*(1+$G$82)</f>
        <v>5.8381397785725889E-2</v>
      </c>
      <c r="I79" s="156" t="s">
        <v>535</v>
      </c>
      <c r="J79" s="440">
        <f>(C79/C78)-1</f>
        <v>6.8785049287216626E-3</v>
      </c>
      <c r="K79">
        <f t="shared" si="31"/>
        <v>0.68785049287216626</v>
      </c>
    </row>
    <row r="80" spans="1:11">
      <c r="A80" s="5"/>
      <c r="B80" s="5"/>
      <c r="C80" s="436"/>
      <c r="D80" s="59"/>
      <c r="E80" s="61"/>
      <c r="F80" s="64"/>
      <c r="G80" s="64"/>
    </row>
    <row r="81" spans="1:10">
      <c r="A81" s="5" t="s">
        <v>61</v>
      </c>
      <c r="B81" s="5"/>
      <c r="C81" s="63"/>
      <c r="D81" s="102">
        <f>+D77-D71</f>
        <v>1.442498025184703E-2</v>
      </c>
      <c r="E81" s="102">
        <f>F81+G81</f>
        <v>-3.3324939694580127E-2</v>
      </c>
      <c r="F81" s="102">
        <f>+F77-F72</f>
        <v>-1.6385999999999998E-2</v>
      </c>
      <c r="G81" s="102">
        <f>+G77-G72</f>
        <v>-1.693893969458013E-2</v>
      </c>
    </row>
    <row r="82" spans="1:10">
      <c r="A82" s="913" t="s">
        <v>536</v>
      </c>
      <c r="B82" s="5"/>
      <c r="C82" s="103">
        <f>ROUND((C79/C72)^(1/($A$79-$A$72))-1,4)</f>
        <v>-1.1599999999999999E-2</v>
      </c>
      <c r="D82" s="64">
        <f>ROUND((D77/D70)^(1/($A$55-$A$51))-1,4)</f>
        <v>4.5999999999999999E-2</v>
      </c>
      <c r="E82" s="64">
        <f>ROUND((E77/E72)^(1/($A$55-$A$51))-1,4)</f>
        <v>-2.0199999999999999E-2</v>
      </c>
      <c r="F82" s="64">
        <f>ROUND((F77/F70)^(1/($A$56-A70))-1,4)</f>
        <v>-1.4999999999999999E-2</v>
      </c>
      <c r="G82" s="64">
        <f>ROUND((G77/G70)^(1/($A$77-A70))-1,4)</f>
        <v>-1.38E-2</v>
      </c>
    </row>
    <row r="84" spans="1:10">
      <c r="A84" s="100" t="s">
        <v>243</v>
      </c>
      <c r="B84" s="88"/>
      <c r="C84" s="88"/>
      <c r="D84" s="88"/>
      <c r="E84" s="88"/>
      <c r="F84" s="897" t="s">
        <v>534</v>
      </c>
      <c r="G84" s="101"/>
    </row>
    <row r="85" spans="1:10">
      <c r="A85" s="179" t="s">
        <v>396</v>
      </c>
      <c r="B85" s="9"/>
      <c r="C85" s="9"/>
      <c r="D85" s="9"/>
      <c r="E85" s="429">
        <v>0.08</v>
      </c>
      <c r="F85" s="439">
        <f>RATE(2016-2012,,-3.97,8)</f>
        <v>0.19144738951092216</v>
      </c>
      <c r="G85" s="320"/>
    </row>
    <row r="86" spans="1:10">
      <c r="A86" s="179" t="s">
        <v>397</v>
      </c>
      <c r="B86" s="9"/>
      <c r="C86" s="9"/>
      <c r="D86" s="9"/>
      <c r="E86" s="429">
        <v>0.05</v>
      </c>
      <c r="F86" s="439">
        <f>RATE(2025-2016,,-7.99,5)</f>
        <v>-5.0750540911680721E-2</v>
      </c>
      <c r="G86" s="320"/>
    </row>
    <row r="87" spans="1:10">
      <c r="A87" s="179" t="s">
        <v>537</v>
      </c>
      <c r="B87" s="9"/>
      <c r="C87" s="9"/>
      <c r="D87" s="9"/>
      <c r="E87" s="438">
        <v>2.5000000000000001E-4</v>
      </c>
      <c r="F87" s="918">
        <f>RATE(2025-2016,,-7.5,6.5)</f>
        <v>-1.5774354551109711E-2</v>
      </c>
      <c r="G87" s="320"/>
    </row>
    <row r="88" spans="1:10">
      <c r="A88" s="179" t="s">
        <v>538</v>
      </c>
      <c r="B88" s="9"/>
      <c r="C88" s="9"/>
      <c r="D88" s="9"/>
      <c r="E88" s="431" t="s">
        <v>532</v>
      </c>
      <c r="F88" s="9"/>
      <c r="G88" s="320"/>
    </row>
    <row r="89" spans="1:10">
      <c r="A89" s="179"/>
      <c r="B89" s="9"/>
      <c r="C89" s="9"/>
      <c r="D89" s="430">
        <v>2025</v>
      </c>
      <c r="E89" s="431" t="s">
        <v>394</v>
      </c>
      <c r="G89" s="320"/>
    </row>
    <row r="90" spans="1:10">
      <c r="A90" s="5"/>
      <c r="B90" s="5"/>
      <c r="C90" s="420" t="s">
        <v>52</v>
      </c>
      <c r="D90" s="178" t="s">
        <v>57</v>
      </c>
      <c r="E90" s="178" t="s">
        <v>54</v>
      </c>
      <c r="F90" s="178" t="s">
        <v>58</v>
      </c>
      <c r="G90" s="178" t="s">
        <v>59</v>
      </c>
      <c r="I90">
        <f>I91-1</f>
        <v>2009</v>
      </c>
    </row>
    <row r="91" spans="1:10">
      <c r="A91" s="5">
        <v>2010</v>
      </c>
      <c r="B91" s="5"/>
      <c r="C91" s="60">
        <f t="shared" ref="C91:C93" si="36">D91+E91</f>
        <v>0.17359481414622155</v>
      </c>
      <c r="D91" s="41">
        <f>D30</f>
        <v>2.330860753261672E-2</v>
      </c>
      <c r="E91" s="61">
        <f>F91+G91</f>
        <v>0.15028620661360484</v>
      </c>
      <c r="F91" s="64">
        <f>F30</f>
        <v>7.6385999999999996E-2</v>
      </c>
      <c r="G91" s="41">
        <f>G30</f>
        <v>7.3900206613604844E-2</v>
      </c>
      <c r="I91">
        <f t="shared" ref="I91:I96" si="37">A91</f>
        <v>2010</v>
      </c>
      <c r="J91" s="440">
        <f>(C91/$C$29)-1</f>
        <v>-4.2639159275199567E-2</v>
      </c>
    </row>
    <row r="92" spans="1:10">
      <c r="A92" s="5">
        <v>2011</v>
      </c>
      <c r="B92" s="5"/>
      <c r="C92" s="60">
        <f t="shared" si="36"/>
        <v>0.17389216734042731</v>
      </c>
      <c r="D92" s="41">
        <f t="shared" ref="D92" si="38">D31</f>
        <v>2.5575019748152971E-2</v>
      </c>
      <c r="E92" s="61">
        <f t="shared" ref="E92:E93" si="39">F92+G92</f>
        <v>0.14831714759227435</v>
      </c>
      <c r="F92" s="64">
        <f>F31</f>
        <v>7.6385999999999996E-2</v>
      </c>
      <c r="G92" s="41">
        <f t="shared" ref="G92" si="40">G31</f>
        <v>7.1931147592274355E-2</v>
      </c>
      <c r="I92">
        <f t="shared" si="37"/>
        <v>2011</v>
      </c>
      <c r="J92" s="440">
        <f t="shared" ref="J92:J97" si="41">(C92/C91)-1</f>
        <v>1.7129151908610307E-3</v>
      </c>
    </row>
    <row r="93" spans="1:10">
      <c r="A93" s="912">
        <v>2012</v>
      </c>
      <c r="B93" s="5"/>
      <c r="C93" s="900">
        <f t="shared" si="36"/>
        <v>0.19301649926110229</v>
      </c>
      <c r="D93" s="901">
        <f>D32</f>
        <v>3.9664856254770613E-2</v>
      </c>
      <c r="E93" s="902">
        <f t="shared" si="39"/>
        <v>0.15335164300633167</v>
      </c>
      <c r="F93" s="901">
        <f>F32</f>
        <v>7.6385999999999996E-2</v>
      </c>
      <c r="G93" s="901">
        <f>G32</f>
        <v>7.6965643006331672E-2</v>
      </c>
      <c r="I93">
        <f t="shared" si="37"/>
        <v>2012</v>
      </c>
      <c r="J93" s="440">
        <f t="shared" si="41"/>
        <v>0.10997811007344227</v>
      </c>
    </row>
    <row r="94" spans="1:10">
      <c r="A94" s="911">
        <v>2013</v>
      </c>
      <c r="B94" s="5"/>
      <c r="C94" s="436">
        <f t="shared" ref="C94:C100" si="42">D94+E94</f>
        <v>0.19897423244640408</v>
      </c>
      <c r="D94" s="99">
        <f>D93*(1+$F$85)</f>
        <v>4.725858944007242E-2</v>
      </c>
      <c r="E94" s="437">
        <f>F94+G94</f>
        <v>0.15171564300633167</v>
      </c>
      <c r="F94" s="427">
        <v>7.4999999999999997E-2</v>
      </c>
      <c r="G94" s="427">
        <f>G93-$E$87</f>
        <v>7.6715643006331671E-2</v>
      </c>
      <c r="I94">
        <f t="shared" si="37"/>
        <v>2013</v>
      </c>
      <c r="J94" s="440">
        <f t="shared" si="41"/>
        <v>3.0866445138674425E-2</v>
      </c>
    </row>
    <row r="95" spans="1:10">
      <c r="A95" s="911">
        <v>2014</v>
      </c>
      <c r="B95" s="5"/>
      <c r="C95" s="436">
        <f t="shared" si="42"/>
        <v>0.20777176602667438</v>
      </c>
      <c r="D95" s="99">
        <f>D94*(1+$F$85)</f>
        <v>5.6306123020342713E-2</v>
      </c>
      <c r="E95" s="437">
        <f>F95+G95</f>
        <v>0.15146564300633167</v>
      </c>
      <c r="F95" s="427">
        <v>7.4999999999999997E-2</v>
      </c>
      <c r="G95" s="427">
        <f t="shared" ref="G95:G96" si="43">G94-$E$87</f>
        <v>7.6465643006331671E-2</v>
      </c>
      <c r="I95">
        <f t="shared" si="37"/>
        <v>2014</v>
      </c>
      <c r="J95" s="440">
        <f t="shared" si="41"/>
        <v>4.4214436573539739E-2</v>
      </c>
    </row>
    <row r="96" spans="1:10">
      <c r="A96" s="911">
        <v>2015</v>
      </c>
      <c r="B96" s="5"/>
      <c r="C96" s="436">
        <f t="shared" si="42"/>
        <v>0.21830142629239985</v>
      </c>
      <c r="D96" s="99">
        <f>D95*(1+$F$85)</f>
        <v>6.7085783286068165E-2</v>
      </c>
      <c r="E96" s="437">
        <f>F96+G96</f>
        <v>0.15121564300633167</v>
      </c>
      <c r="F96" s="427">
        <v>7.4999999999999997E-2</v>
      </c>
      <c r="G96" s="427">
        <f t="shared" si="43"/>
        <v>7.6215643006331671E-2</v>
      </c>
      <c r="I96">
        <f t="shared" si="37"/>
        <v>2015</v>
      </c>
      <c r="J96" s="440">
        <f t="shared" si="41"/>
        <v>5.0678975623538847E-2</v>
      </c>
    </row>
    <row r="97" spans="1:10">
      <c r="A97" s="911">
        <f>2015+1</f>
        <v>2016</v>
      </c>
      <c r="B97" s="5"/>
      <c r="C97" s="436">
        <f t="shared" si="42"/>
        <v>0.23089482437581305</v>
      </c>
      <c r="D97" s="99">
        <f>D96*(1+$F$85)</f>
        <v>7.9929181369481364E-2</v>
      </c>
      <c r="E97" s="437">
        <f>F97+G97</f>
        <v>0.15096564300633167</v>
      </c>
      <c r="F97" s="427">
        <v>7.4999999999999997E-2</v>
      </c>
      <c r="G97" s="427">
        <f>G96-$E$87</f>
        <v>7.5965643006331671E-2</v>
      </c>
      <c r="I97">
        <f t="shared" ref="I97" si="44">A97</f>
        <v>2016</v>
      </c>
      <c r="J97" s="440">
        <f t="shared" si="41"/>
        <v>5.7688116368718623E-2</v>
      </c>
    </row>
    <row r="98" spans="1:10">
      <c r="A98" s="911">
        <v>2025</v>
      </c>
      <c r="B98" s="5"/>
      <c r="C98" s="436">
        <f t="shared" si="42"/>
        <v>0.18</v>
      </c>
      <c r="D98" s="99">
        <f>E86</f>
        <v>0.05</v>
      </c>
      <c r="E98" s="437">
        <f t="shared" ref="E98:E99" si="45">F98+G98</f>
        <v>0.13</v>
      </c>
      <c r="F98" s="427">
        <v>6.5000000000000002E-2</v>
      </c>
      <c r="G98" s="99">
        <v>6.5000000000000002E-2</v>
      </c>
      <c r="I98" s="156" t="s">
        <v>335</v>
      </c>
      <c r="J98" s="440">
        <f>RATE(A98-A97,,-C97,C98)</f>
        <v>-2.7288038770204186E-2</v>
      </c>
    </row>
    <row r="99" spans="1:10">
      <c r="A99" s="911">
        <f>A98+1</f>
        <v>2026</v>
      </c>
      <c r="B99" s="5"/>
      <c r="C99" s="436">
        <f t="shared" si="42"/>
        <v>0.18273249999999999</v>
      </c>
      <c r="D99" s="99">
        <f>D98*(1+D103)</f>
        <v>5.3285000000000006E-2</v>
      </c>
      <c r="E99" s="437">
        <f t="shared" si="45"/>
        <v>0.12944749999999999</v>
      </c>
      <c r="F99" s="427">
        <v>6.5000000000000002E-2</v>
      </c>
      <c r="G99" s="99">
        <f>G98*(1+$G$103)</f>
        <v>6.4447500000000005E-2</v>
      </c>
      <c r="I99" s="156" t="s">
        <v>398</v>
      </c>
      <c r="J99" s="440">
        <f>(C99/C98)-1</f>
        <v>1.518055555555553E-2</v>
      </c>
    </row>
    <row r="100" spans="1:10">
      <c r="A100" s="911">
        <f>A99+1</f>
        <v>2027</v>
      </c>
      <c r="B100" s="5"/>
      <c r="C100" s="436">
        <f t="shared" si="42"/>
        <v>0.18218469625000003</v>
      </c>
      <c r="D100" s="99">
        <f>D99*(1+D104)</f>
        <v>5.3285000000000006E-2</v>
      </c>
      <c r="E100" s="437">
        <f>F100+G100</f>
        <v>0.12889969625000003</v>
      </c>
      <c r="F100" s="427">
        <v>6.5000000000000002E-2</v>
      </c>
      <c r="G100" s="99">
        <f>G99*(1+$G$103)</f>
        <v>6.3899696250000013E-2</v>
      </c>
      <c r="I100" s="156" t="s">
        <v>535</v>
      </c>
      <c r="J100" s="440">
        <f>(C100/C99)-1</f>
        <v>-2.9978452108955222E-3</v>
      </c>
    </row>
    <row r="101" spans="1:10">
      <c r="A101" s="5"/>
      <c r="B101" s="5"/>
      <c r="C101" s="436"/>
      <c r="D101" s="97"/>
      <c r="E101" s="61"/>
      <c r="F101" s="64"/>
      <c r="G101" s="64"/>
    </row>
    <row r="102" spans="1:10">
      <c r="A102" s="5" t="s">
        <v>61</v>
      </c>
      <c r="B102" s="5"/>
      <c r="C102" s="63"/>
      <c r="D102" s="102">
        <f>+D99-D92</f>
        <v>2.7709980251847035E-2</v>
      </c>
      <c r="E102" s="102">
        <f>+E99-E93</f>
        <v>-2.3904143006331674E-2</v>
      </c>
      <c r="F102" s="102">
        <f>+F99-F93</f>
        <v>-1.1385999999999993E-2</v>
      </c>
      <c r="G102" s="102">
        <f>+G99-G93</f>
        <v>-1.2518143006331667E-2</v>
      </c>
    </row>
    <row r="103" spans="1:10">
      <c r="A103" s="913" t="s">
        <v>536</v>
      </c>
      <c r="B103" s="5"/>
      <c r="C103" s="103">
        <f>ROUND((C100/C93)^(1/($A$100-$A$93))-1,4)</f>
        <v>-3.8E-3</v>
      </c>
      <c r="D103" s="64">
        <f>ROUND((D98/D91)^(1/($A$98-$A$94))-1,4)</f>
        <v>6.5699999999999995E-2</v>
      </c>
      <c r="E103" s="64">
        <f>ROUND((E98/E91)^(1/($A$55-$A$51))-1,4)</f>
        <v>-1.2E-2</v>
      </c>
      <c r="F103" s="64">
        <f>ROUND((F98/F91)^(1/($A$56-A91))-1,4)</f>
        <v>-0.01</v>
      </c>
      <c r="G103" s="64">
        <f>ROUND((G98/G91)^(1/($A$98-A91))-1,4)</f>
        <v>-8.5000000000000006E-3</v>
      </c>
    </row>
  </sheetData>
  <mergeCells count="4">
    <mergeCell ref="A3:A4"/>
    <mergeCell ref="B3:B4"/>
    <mergeCell ref="C3:E3"/>
    <mergeCell ref="A19:A20"/>
  </mergeCells>
  <printOptions horizontalCentered="1" verticalCentered="1"/>
  <pageMargins left="0.74803149606299213" right="0.74803149606299213" top="0.98425196850393704" bottom="0.98425196850393704" header="0" footer="0"/>
  <pageSetup scale="49" orientation="portrait" r:id="rId1"/>
  <headerFooter alignWithMargins="0">
    <oddHeader>&amp;L&amp;F
&amp;A&amp;D</oddHeader>
    <oddFooter>&amp;R&amp;8&amp;P/ &amp;N</oddFoot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AD105"/>
  <sheetViews>
    <sheetView topLeftCell="G109" zoomScale="80" zoomScaleNormal="80" workbookViewId="0">
      <selection activeCell="M51" sqref="M51"/>
    </sheetView>
  </sheetViews>
  <sheetFormatPr baseColWidth="10" defaultRowHeight="12.75"/>
  <cols>
    <col min="1" max="1" width="5.85546875" style="238" customWidth="1"/>
    <col min="2" max="2" width="10.7109375" style="787" customWidth="1"/>
    <col min="3" max="3" width="6.7109375" style="238" bestFit="1" customWidth="1"/>
    <col min="4" max="4" width="8.85546875" style="238" bestFit="1" customWidth="1"/>
    <col min="5" max="5" width="11.42578125" style="238"/>
    <col min="6" max="6" width="8.7109375" style="238" bestFit="1" customWidth="1"/>
    <col min="7" max="7" width="8.7109375" style="238" customWidth="1"/>
    <col min="8" max="8" width="11" style="238" bestFit="1" customWidth="1"/>
    <col min="9" max="9" width="11.28515625" style="238" customWidth="1"/>
    <col min="10" max="10" width="10.7109375" style="238" bestFit="1" customWidth="1"/>
    <col min="11" max="11" width="14" style="238" customWidth="1"/>
    <col min="12" max="12" width="9.85546875" style="238" customWidth="1"/>
    <col min="13" max="19" width="8.7109375" style="238" customWidth="1"/>
    <col min="20" max="25" width="11.42578125" style="238"/>
    <col min="26" max="26" width="10.7109375" style="238" customWidth="1"/>
    <col min="27" max="27" width="13.140625" style="238" customWidth="1"/>
    <col min="28" max="28" width="6.7109375" style="238" customWidth="1"/>
    <col min="29" max="29" width="13.42578125" style="238" customWidth="1"/>
    <col min="30" max="16384" width="11.42578125" style="238"/>
  </cols>
  <sheetData>
    <row r="1" spans="1:25">
      <c r="A1" s="3" t="s">
        <v>503</v>
      </c>
    </row>
    <row r="3" spans="1:25" ht="15.75">
      <c r="A3" s="266" t="s">
        <v>9</v>
      </c>
    </row>
    <row r="4" spans="1:25">
      <c r="A4" s="247"/>
      <c r="B4" s="788"/>
      <c r="C4" s="247"/>
      <c r="D4" s="247"/>
      <c r="E4" s="929" t="s">
        <v>10</v>
      </c>
      <c r="F4" s="370"/>
      <c r="G4" s="370"/>
      <c r="H4" s="929" t="s">
        <v>11</v>
      </c>
      <c r="I4" s="370" t="s">
        <v>12</v>
      </c>
      <c r="J4" s="370"/>
      <c r="K4" s="789"/>
      <c r="L4" s="247"/>
      <c r="M4" s="247"/>
      <c r="N4" s="247"/>
    </row>
    <row r="5" spans="1:25" ht="36" customHeight="1">
      <c r="A5" s="247"/>
      <c r="B5" s="790"/>
      <c r="C5" s="749"/>
      <c r="D5" s="749"/>
      <c r="E5" s="928" t="s">
        <v>13</v>
      </c>
      <c r="F5" s="370"/>
      <c r="G5" s="370"/>
      <c r="H5" s="928" t="s">
        <v>14</v>
      </c>
      <c r="I5" s="928" t="s">
        <v>1</v>
      </c>
      <c r="J5" s="928" t="s">
        <v>4</v>
      </c>
      <c r="K5" s="789"/>
      <c r="L5" s="247"/>
      <c r="M5" s="247"/>
      <c r="N5" s="247"/>
    </row>
    <row r="6" spans="1:25" ht="24.75" customHeight="1">
      <c r="A6" s="792"/>
      <c r="B6" s="925" t="s">
        <v>15</v>
      </c>
      <c r="C6" s="925" t="s">
        <v>16</v>
      </c>
      <c r="D6" s="925" t="s">
        <v>540</v>
      </c>
      <c r="E6" s="925" t="s">
        <v>5</v>
      </c>
      <c r="F6" s="370"/>
      <c r="G6" s="370"/>
      <c r="H6" s="925" t="s">
        <v>17</v>
      </c>
      <c r="I6" s="370"/>
      <c r="J6" s="925" t="s">
        <v>5</v>
      </c>
      <c r="K6" s="793" t="s">
        <v>18</v>
      </c>
      <c r="L6" s="749"/>
      <c r="M6" s="749"/>
      <c r="N6" s="749"/>
    </row>
    <row r="7" spans="1:25" ht="38.25">
      <c r="A7" s="791" t="s">
        <v>8</v>
      </c>
      <c r="B7" s="794" t="s">
        <v>19</v>
      </c>
      <c r="C7" s="795" t="s">
        <v>20</v>
      </c>
      <c r="D7" s="795" t="s">
        <v>21</v>
      </c>
      <c r="E7" s="795" t="s">
        <v>22</v>
      </c>
      <c r="F7" s="795" t="s">
        <v>23</v>
      </c>
      <c r="G7" s="795"/>
      <c r="H7" s="796" t="s">
        <v>24</v>
      </c>
      <c r="I7" s="795" t="s">
        <v>6</v>
      </c>
      <c r="J7" s="795" t="s">
        <v>6</v>
      </c>
      <c r="K7" s="795" t="s">
        <v>6</v>
      </c>
      <c r="L7" s="797" t="s">
        <v>25</v>
      </c>
      <c r="M7" s="797" t="s">
        <v>26</v>
      </c>
      <c r="N7" s="798" t="s">
        <v>27</v>
      </c>
      <c r="Y7" s="799" t="s">
        <v>476</v>
      </c>
    </row>
    <row r="8" spans="1:25">
      <c r="A8" s="800"/>
      <c r="B8" s="801"/>
      <c r="C8" s="802"/>
      <c r="D8" s="802"/>
      <c r="E8" s="802"/>
      <c r="F8" s="802"/>
      <c r="G8" s="802"/>
      <c r="H8" s="803"/>
      <c r="I8" s="802"/>
      <c r="J8" s="802"/>
      <c r="K8" s="802"/>
      <c r="L8" s="802"/>
      <c r="M8" s="802"/>
      <c r="N8" s="804"/>
      <c r="X8" s="239" t="s">
        <v>69</v>
      </c>
    </row>
    <row r="9" spans="1:25">
      <c r="A9" s="805">
        <v>1970</v>
      </c>
      <c r="B9" s="924">
        <v>20.8</v>
      </c>
      <c r="C9" s="807">
        <v>710.3</v>
      </c>
      <c r="D9" s="808">
        <f>+B9/C9*100</f>
        <v>2.9283401379698719</v>
      </c>
      <c r="E9" s="809">
        <v>42.2</v>
      </c>
      <c r="F9" s="810">
        <f t="shared" ref="F9:F47" si="0">+E9/$E$21*100</f>
        <v>44.656084656084658</v>
      </c>
      <c r="G9" s="810"/>
      <c r="H9" s="810"/>
      <c r="I9" s="808">
        <f t="shared" ref="I9:I47" si="1">+D9*$F$21/F9</f>
        <v>6.557538934553385</v>
      </c>
      <c r="J9" s="811">
        <v>6.5575389345533859</v>
      </c>
      <c r="K9" s="812"/>
      <c r="L9" s="813"/>
      <c r="M9" s="813"/>
      <c r="N9" s="318"/>
    </row>
    <row r="10" spans="1:25">
      <c r="A10" s="592">
        <f>+A9+1</f>
        <v>1971</v>
      </c>
      <c r="B10" s="924">
        <v>24.4</v>
      </c>
      <c r="C10" s="807">
        <v>775.4</v>
      </c>
      <c r="D10" s="808">
        <f t="shared" ref="D10:D50" si="2">+B10/C10*100</f>
        <v>3.1467629610523602</v>
      </c>
      <c r="E10" s="809">
        <v>43</v>
      </c>
      <c r="F10" s="814">
        <f t="shared" si="0"/>
        <v>45.5026455026455</v>
      </c>
      <c r="G10" s="815">
        <f>F10/F9-1</f>
        <v>1.8957345971563955E-2</v>
      </c>
      <c r="H10" s="814">
        <f>+F10-F9</f>
        <v>0.84656084656084118</v>
      </c>
      <c r="I10" s="816">
        <f t="shared" si="1"/>
        <v>6.9155604609173968</v>
      </c>
      <c r="J10" s="811">
        <v>6.915560460917396</v>
      </c>
      <c r="K10" s="817">
        <f>+J10-J9</f>
        <v>0.35802152636401008</v>
      </c>
      <c r="L10" s="818">
        <f>+K10/J9</f>
        <v>5.4596934907622297E-2</v>
      </c>
      <c r="M10" s="819"/>
      <c r="N10" s="318"/>
      <c r="X10" s="238">
        <v>2006</v>
      </c>
    </row>
    <row r="11" spans="1:25">
      <c r="A11" s="592">
        <f t="shared" ref="A11:A51" si="3">+A10+1</f>
        <v>1972</v>
      </c>
      <c r="B11" s="924">
        <v>28.4</v>
      </c>
      <c r="C11" s="807">
        <v>869.8</v>
      </c>
      <c r="D11" s="808">
        <f t="shared" si="2"/>
        <v>3.2651184180271327</v>
      </c>
      <c r="E11" s="809">
        <v>45.4</v>
      </c>
      <c r="F11" s="814">
        <f t="shared" si="0"/>
        <v>48.042328042328045</v>
      </c>
      <c r="G11" s="815">
        <f t="shared" ref="G11:G47" si="4">F11/F10-1</f>
        <v>5.5813953488372148E-2</v>
      </c>
      <c r="H11" s="814">
        <f t="shared" ref="H11:H47" si="5">+F11-F10</f>
        <v>2.5396825396825449</v>
      </c>
      <c r="I11" s="816">
        <f t="shared" si="1"/>
        <v>6.7963367952326879</v>
      </c>
      <c r="J11" s="811">
        <v>6.7963367952326887</v>
      </c>
      <c r="K11" s="817">
        <f t="shared" ref="K11:K46" si="6">+J11-J10</f>
        <v>-0.11922366568470721</v>
      </c>
      <c r="L11" s="818">
        <f t="shared" ref="L11:L47" si="7">+K11/J10</f>
        <v>-1.723991372188674E-2</v>
      </c>
      <c r="M11" s="819"/>
      <c r="N11" s="318"/>
    </row>
    <row r="12" spans="1:25">
      <c r="A12" s="592">
        <f t="shared" si="3"/>
        <v>1973</v>
      </c>
      <c r="B12" s="924">
        <v>31.6</v>
      </c>
      <c r="C12" s="807">
        <v>983.99999999999989</v>
      </c>
      <c r="D12" s="808">
        <f t="shared" si="2"/>
        <v>3.2113821138211387</v>
      </c>
      <c r="E12" s="809">
        <v>48.5</v>
      </c>
      <c r="F12" s="814">
        <f t="shared" si="0"/>
        <v>51.322751322751323</v>
      </c>
      <c r="G12" s="815">
        <f t="shared" si="4"/>
        <v>6.8281938325991165E-2</v>
      </c>
      <c r="H12" s="814">
        <f t="shared" si="5"/>
        <v>3.2804232804232782</v>
      </c>
      <c r="I12" s="816">
        <f t="shared" si="1"/>
        <v>6.2572290671360333</v>
      </c>
      <c r="J12" s="811">
        <v>6.2572290671360324</v>
      </c>
      <c r="K12" s="817">
        <f t="shared" si="6"/>
        <v>-0.5391077280966563</v>
      </c>
      <c r="L12" s="818">
        <f>+K12/J11</f>
        <v>-7.9323280222783413E-2</v>
      </c>
      <c r="M12" s="819"/>
      <c r="N12" s="318"/>
    </row>
    <row r="13" spans="1:25">
      <c r="A13" s="592">
        <f t="shared" si="3"/>
        <v>1974</v>
      </c>
      <c r="B13" s="924">
        <v>45.6</v>
      </c>
      <c r="C13" s="807">
        <v>980.7</v>
      </c>
      <c r="D13" s="808">
        <f t="shared" si="2"/>
        <v>4.6497399816457632</v>
      </c>
      <c r="E13" s="809">
        <v>56.9</v>
      </c>
      <c r="F13" s="814">
        <f t="shared" si="0"/>
        <v>60.211640211640201</v>
      </c>
      <c r="G13" s="815">
        <f t="shared" si="4"/>
        <v>0.17319587628865962</v>
      </c>
      <c r="H13" s="814">
        <f t="shared" si="5"/>
        <v>8.8888888888888786</v>
      </c>
      <c r="I13" s="816">
        <f t="shared" si="1"/>
        <v>7.7223273860373407</v>
      </c>
      <c r="J13" s="811">
        <v>7.7223273860373398</v>
      </c>
      <c r="K13" s="817">
        <f t="shared" si="6"/>
        <v>1.4650983189013074</v>
      </c>
      <c r="L13" s="818">
        <f t="shared" si="7"/>
        <v>0.23414490714368089</v>
      </c>
      <c r="M13" s="819"/>
      <c r="N13" s="318"/>
    </row>
    <row r="14" spans="1:25">
      <c r="A14" s="592">
        <f t="shared" si="3"/>
        <v>1975</v>
      </c>
      <c r="B14" s="924">
        <v>56.4</v>
      </c>
      <c r="C14" s="807">
        <v>1041</v>
      </c>
      <c r="D14" s="808">
        <f t="shared" si="2"/>
        <v>5.4178674351585014</v>
      </c>
      <c r="E14" s="809">
        <v>60</v>
      </c>
      <c r="F14" s="814">
        <f t="shared" si="0"/>
        <v>63.492063492063487</v>
      </c>
      <c r="G14" s="815">
        <f t="shared" si="4"/>
        <v>5.4481546572935136E-2</v>
      </c>
      <c r="H14" s="814">
        <f t="shared" si="5"/>
        <v>3.2804232804232853</v>
      </c>
      <c r="I14" s="816">
        <f t="shared" si="1"/>
        <v>8.5331412103746409</v>
      </c>
      <c r="J14" s="811">
        <v>8.5331412103746409</v>
      </c>
      <c r="K14" s="817">
        <f t="shared" si="6"/>
        <v>0.81081382433730109</v>
      </c>
      <c r="L14" s="818">
        <f t="shared" si="7"/>
        <v>0.10499604378381124</v>
      </c>
      <c r="M14" s="819"/>
      <c r="N14" s="318"/>
    </row>
    <row r="15" spans="1:25">
      <c r="A15" s="592">
        <f t="shared" si="3"/>
        <v>1976</v>
      </c>
      <c r="B15" s="924">
        <v>63</v>
      </c>
      <c r="C15" s="807">
        <v>1143.0999999999999</v>
      </c>
      <c r="D15" s="808">
        <f t="shared" si="2"/>
        <v>5.5113288426209435</v>
      </c>
      <c r="E15" s="809">
        <v>62.4</v>
      </c>
      <c r="F15" s="814">
        <f t="shared" si="0"/>
        <v>66.031746031746025</v>
      </c>
      <c r="G15" s="815">
        <f t="shared" si="4"/>
        <v>4.0000000000000036E-2</v>
      </c>
      <c r="H15" s="814">
        <f t="shared" si="5"/>
        <v>2.5396825396825378</v>
      </c>
      <c r="I15" s="816">
        <f t="shared" si="1"/>
        <v>8.3464835837769105</v>
      </c>
      <c r="J15" s="811">
        <v>8.3464835837769105</v>
      </c>
      <c r="K15" s="817">
        <f t="shared" si="6"/>
        <v>-0.18665762659773044</v>
      </c>
      <c r="L15" s="818">
        <f t="shared" si="7"/>
        <v>-2.1874433106859999E-2</v>
      </c>
      <c r="M15" s="819"/>
      <c r="N15" s="318"/>
    </row>
    <row r="16" spans="1:25">
      <c r="A16" s="592">
        <f t="shared" si="3"/>
        <v>1977</v>
      </c>
      <c r="B16" s="924">
        <v>83.7</v>
      </c>
      <c r="C16" s="807">
        <v>1260.0999999999999</v>
      </c>
      <c r="D16" s="808">
        <f t="shared" si="2"/>
        <v>6.6423299738116031</v>
      </c>
      <c r="E16" s="809">
        <v>65.400000000000006</v>
      </c>
      <c r="F16" s="814">
        <f t="shared" si="0"/>
        <v>69.206349206349216</v>
      </c>
      <c r="G16" s="815">
        <f t="shared" si="4"/>
        <v>4.807692307692335E-2</v>
      </c>
      <c r="H16" s="814">
        <f t="shared" si="5"/>
        <v>3.1746031746031917</v>
      </c>
      <c r="I16" s="816">
        <f t="shared" si="1"/>
        <v>9.5978621181222685</v>
      </c>
      <c r="J16" s="811">
        <v>9.5978621181222703</v>
      </c>
      <c r="K16" s="817">
        <f t="shared" si="6"/>
        <v>1.2513785343453598</v>
      </c>
      <c r="L16" s="818">
        <f t="shared" si="7"/>
        <v>0.14992883191882972</v>
      </c>
      <c r="M16" s="819"/>
      <c r="N16" s="318"/>
    </row>
    <row r="17" spans="1:14">
      <c r="A17" s="592">
        <f t="shared" si="3"/>
        <v>1978</v>
      </c>
      <c r="B17" s="924">
        <v>92.5</v>
      </c>
      <c r="C17" s="807">
        <v>1268.2</v>
      </c>
      <c r="D17" s="808">
        <f t="shared" si="2"/>
        <v>7.2938022393944175</v>
      </c>
      <c r="E17" s="809">
        <v>68.3</v>
      </c>
      <c r="F17" s="814">
        <f t="shared" si="0"/>
        <v>72.275132275132265</v>
      </c>
      <c r="G17" s="815">
        <f t="shared" si="4"/>
        <v>4.434250764525971E-2</v>
      </c>
      <c r="H17" s="814">
        <f t="shared" si="5"/>
        <v>3.0687830687830484</v>
      </c>
      <c r="I17" s="816">
        <f t="shared" si="1"/>
        <v>10.091717593305601</v>
      </c>
      <c r="J17" s="811">
        <v>10.091717593305599</v>
      </c>
      <c r="K17" s="817">
        <f t="shared" si="6"/>
        <v>0.49385547518332906</v>
      </c>
      <c r="L17" s="818">
        <f t="shared" si="7"/>
        <v>5.1454737430625556E-2</v>
      </c>
      <c r="M17" s="819"/>
      <c r="N17" s="318"/>
    </row>
    <row r="18" spans="1:14">
      <c r="A18" s="592">
        <f t="shared" si="3"/>
        <v>1979</v>
      </c>
      <c r="B18" s="924">
        <v>111.1</v>
      </c>
      <c r="C18" s="807">
        <v>1480.9</v>
      </c>
      <c r="D18" s="808">
        <f t="shared" si="2"/>
        <v>7.5021946113849669</v>
      </c>
      <c r="E18" s="809">
        <v>73.8</v>
      </c>
      <c r="F18" s="814">
        <f t="shared" si="0"/>
        <v>78.095238095238102</v>
      </c>
      <c r="G18" s="815">
        <f t="shared" si="4"/>
        <v>8.0527086383602065E-2</v>
      </c>
      <c r="H18" s="814">
        <f t="shared" si="5"/>
        <v>5.8201058201058373</v>
      </c>
      <c r="I18" s="816">
        <f t="shared" si="1"/>
        <v>9.6064687097002626</v>
      </c>
      <c r="J18" s="811">
        <v>9.6064687097002643</v>
      </c>
      <c r="K18" s="817">
        <f t="shared" si="6"/>
        <v>-0.48524888360533502</v>
      </c>
      <c r="L18" s="818">
        <f t="shared" si="7"/>
        <v>-4.8083874634703191E-2</v>
      </c>
      <c r="M18" s="819"/>
      <c r="N18" s="318"/>
    </row>
    <row r="19" spans="1:14">
      <c r="A19" s="592">
        <f t="shared" si="3"/>
        <v>1980</v>
      </c>
      <c r="B19" s="924">
        <v>143.4</v>
      </c>
      <c r="C19" s="807">
        <v>1472.2999999999997</v>
      </c>
      <c r="D19" s="808">
        <f t="shared" si="2"/>
        <v>9.7398627997011502</v>
      </c>
      <c r="E19" s="809">
        <v>84.3</v>
      </c>
      <c r="F19" s="814">
        <f t="shared" si="0"/>
        <v>89.206349206349202</v>
      </c>
      <c r="G19" s="815">
        <f t="shared" si="4"/>
        <v>0.14227642276422747</v>
      </c>
      <c r="H19" s="814">
        <f t="shared" si="5"/>
        <v>11.1111111111111</v>
      </c>
      <c r="I19" s="816">
        <f t="shared" si="1"/>
        <v>10.918351537031539</v>
      </c>
      <c r="J19" s="811">
        <v>10.918351537031539</v>
      </c>
      <c r="K19" s="817">
        <f t="shared" si="6"/>
        <v>1.3118828273312744</v>
      </c>
      <c r="L19" s="818">
        <f t="shared" si="7"/>
        <v>0.13656244213928292</v>
      </c>
      <c r="M19" s="819"/>
      <c r="N19" s="820"/>
    </row>
    <row r="20" spans="1:14">
      <c r="A20" s="592">
        <f t="shared" si="3"/>
        <v>1981</v>
      </c>
      <c r="B20" s="924">
        <v>164.3</v>
      </c>
      <c r="C20" s="807">
        <v>1554.3000000000002</v>
      </c>
      <c r="D20" s="808">
        <f t="shared" si="2"/>
        <v>10.570674901885093</v>
      </c>
      <c r="E20" s="809">
        <v>90.6</v>
      </c>
      <c r="F20" s="814">
        <f t="shared" si="0"/>
        <v>95.873015873015859</v>
      </c>
      <c r="G20" s="815">
        <f t="shared" si="4"/>
        <v>7.4733096085409123E-2</v>
      </c>
      <c r="H20" s="814">
        <f t="shared" si="5"/>
        <v>6.6666666666666572</v>
      </c>
      <c r="I20" s="816">
        <f t="shared" si="1"/>
        <v>11.025703953952997</v>
      </c>
      <c r="J20" s="811">
        <v>11.025703953952993</v>
      </c>
      <c r="K20" s="817">
        <f t="shared" si="6"/>
        <v>0.10735241692145436</v>
      </c>
      <c r="L20" s="818">
        <f t="shared" si="7"/>
        <v>9.8322916749245051E-3</v>
      </c>
      <c r="M20" s="821">
        <v>-0.1080323240701635</v>
      </c>
      <c r="N20" s="820"/>
    </row>
    <row r="21" spans="1:14">
      <c r="A21" s="592">
        <f t="shared" si="3"/>
        <v>1982</v>
      </c>
      <c r="B21" s="924">
        <v>191.7</v>
      </c>
      <c r="C21" s="807">
        <v>1674.8</v>
      </c>
      <c r="D21" s="808">
        <f t="shared" si="2"/>
        <v>11.446142823023644</v>
      </c>
      <c r="E21" s="809">
        <v>94.5</v>
      </c>
      <c r="F21" s="814">
        <f t="shared" si="0"/>
        <v>100</v>
      </c>
      <c r="G21" s="815">
        <f t="shared" si="4"/>
        <v>4.3046357615894149E-2</v>
      </c>
      <c r="H21" s="814">
        <f t="shared" si="5"/>
        <v>4.1269841269841407</v>
      </c>
      <c r="I21" s="822">
        <f t="shared" si="1"/>
        <v>11.446142823023644</v>
      </c>
      <c r="J21" s="811">
        <v>11.446142823023646</v>
      </c>
      <c r="K21" s="817">
        <f t="shared" si="6"/>
        <v>0.42043886907065264</v>
      </c>
      <c r="L21" s="818">
        <f t="shared" si="7"/>
        <v>3.8132610019872219E-2</v>
      </c>
      <c r="M21" s="821">
        <v>-0.13514720033459904</v>
      </c>
      <c r="N21" s="820"/>
    </row>
    <row r="22" spans="1:14">
      <c r="A22" s="592">
        <f t="shared" si="3"/>
        <v>1983</v>
      </c>
      <c r="B22" s="924">
        <v>230.3</v>
      </c>
      <c r="C22" s="807">
        <v>1850.6</v>
      </c>
      <c r="D22" s="808">
        <f t="shared" si="2"/>
        <v>12.44461255808927</v>
      </c>
      <c r="E22" s="809">
        <v>96.6</v>
      </c>
      <c r="F22" s="814">
        <f t="shared" si="0"/>
        <v>102.22222222222221</v>
      </c>
      <c r="G22" s="815">
        <f t="shared" si="4"/>
        <v>2.2222222222222143E-2</v>
      </c>
      <c r="H22" s="814">
        <f t="shared" si="5"/>
        <v>2.2222222222222143</v>
      </c>
      <c r="I22" s="823">
        <f t="shared" si="1"/>
        <v>12.174077502478635</v>
      </c>
      <c r="J22" s="811">
        <v>12.174077502478633</v>
      </c>
      <c r="K22" s="817">
        <f t="shared" si="6"/>
        <v>0.72793467945498769</v>
      </c>
      <c r="L22" s="818">
        <f t="shared" si="7"/>
        <v>6.3596505015712748E-2</v>
      </c>
      <c r="M22" s="821">
        <v>-0.13782347374069015</v>
      </c>
      <c r="N22" s="820"/>
    </row>
    <row r="23" spans="1:14">
      <c r="A23" s="592">
        <f t="shared" si="3"/>
        <v>1984</v>
      </c>
      <c r="B23" s="924">
        <v>228.4</v>
      </c>
      <c r="C23" s="807">
        <v>1816.5</v>
      </c>
      <c r="D23" s="808">
        <f t="shared" si="2"/>
        <v>12.573630608312689</v>
      </c>
      <c r="E23" s="809">
        <v>98.2</v>
      </c>
      <c r="F23" s="814">
        <f t="shared" si="0"/>
        <v>103.91534391534391</v>
      </c>
      <c r="G23" s="815">
        <f t="shared" si="4"/>
        <v>1.6563146997929712E-2</v>
      </c>
      <c r="H23" s="814">
        <f t="shared" si="5"/>
        <v>1.6931216931216966</v>
      </c>
      <c r="I23" s="823">
        <f t="shared" si="1"/>
        <v>12.099878742215369</v>
      </c>
      <c r="J23" s="811">
        <v>12.099878742215367</v>
      </c>
      <c r="K23" s="817">
        <f t="shared" si="6"/>
        <v>-7.419876026326655E-2</v>
      </c>
      <c r="L23" s="818">
        <f t="shared" si="7"/>
        <v>-6.094815828810005E-3</v>
      </c>
      <c r="M23" s="821">
        <v>-6.1308134763085942E-2</v>
      </c>
      <c r="N23" s="820"/>
    </row>
    <row r="24" spans="1:14">
      <c r="A24" s="592">
        <f t="shared" si="3"/>
        <v>1985</v>
      </c>
      <c r="B24" s="924">
        <v>235.1</v>
      </c>
      <c r="C24" s="807">
        <v>1944.1</v>
      </c>
      <c r="D24" s="808">
        <f t="shared" si="2"/>
        <v>12.092999331310118</v>
      </c>
      <c r="E24" s="809">
        <v>99.1</v>
      </c>
      <c r="F24" s="814">
        <f t="shared" si="0"/>
        <v>104.86772486772486</v>
      </c>
      <c r="G24" s="815">
        <f t="shared" si="4"/>
        <v>9.1649694501017009E-3</v>
      </c>
      <c r="H24" s="814">
        <f t="shared" si="5"/>
        <v>0.952380952380949</v>
      </c>
      <c r="I24" s="823">
        <f t="shared" si="1"/>
        <v>11.531669392621657</v>
      </c>
      <c r="J24" s="811">
        <v>11.531669392621657</v>
      </c>
      <c r="K24" s="817">
        <f t="shared" si="6"/>
        <v>-0.56820934959370994</v>
      </c>
      <c r="L24" s="818">
        <f t="shared" si="7"/>
        <v>-4.6959920979313591E-2</v>
      </c>
      <c r="M24" s="821">
        <v>-7.05308539799403E-2</v>
      </c>
      <c r="N24" s="820"/>
    </row>
    <row r="25" spans="1:14">
      <c r="A25" s="592">
        <f t="shared" si="3"/>
        <v>1986</v>
      </c>
      <c r="B25" s="924">
        <v>242</v>
      </c>
      <c r="C25" s="807">
        <v>2045.1</v>
      </c>
      <c r="D25" s="808">
        <f t="shared" si="2"/>
        <v>11.833162192557822</v>
      </c>
      <c r="E25" s="809">
        <v>99.1</v>
      </c>
      <c r="F25" s="814">
        <f t="shared" si="0"/>
        <v>104.86772486772486</v>
      </c>
      <c r="G25" s="815">
        <f t="shared" si="4"/>
        <v>0</v>
      </c>
      <c r="H25" s="814">
        <f t="shared" si="5"/>
        <v>0</v>
      </c>
      <c r="I25" s="823">
        <f t="shared" si="1"/>
        <v>11.283893311773101</v>
      </c>
      <c r="J25" s="811">
        <v>11.283893311773101</v>
      </c>
      <c r="K25" s="817">
        <f t="shared" si="6"/>
        <v>-0.24777608084855629</v>
      </c>
      <c r="L25" s="818">
        <f t="shared" si="7"/>
        <v>-2.1486575136041589E-2</v>
      </c>
      <c r="M25" s="821">
        <v>-0.4877444306958495</v>
      </c>
      <c r="N25" s="820"/>
    </row>
    <row r="26" spans="1:14">
      <c r="A26" s="592">
        <f t="shared" si="3"/>
        <v>1987</v>
      </c>
      <c r="B26" s="924">
        <v>255.2</v>
      </c>
      <c r="C26" s="807">
        <v>2191.1000000000004</v>
      </c>
      <c r="D26" s="808">
        <f t="shared" si="2"/>
        <v>11.647117885993334</v>
      </c>
      <c r="E26" s="809">
        <v>100</v>
      </c>
      <c r="F26" s="814">
        <f t="shared" si="0"/>
        <v>105.82010582010581</v>
      </c>
      <c r="G26" s="815">
        <f t="shared" si="4"/>
        <v>9.0817356205852295E-3</v>
      </c>
      <c r="H26" s="814">
        <f t="shared" si="5"/>
        <v>0.952380952380949</v>
      </c>
      <c r="I26" s="823">
        <f t="shared" si="1"/>
        <v>11.006526402263702</v>
      </c>
      <c r="J26" s="811">
        <v>11.006526402263702</v>
      </c>
      <c r="K26" s="817">
        <f t="shared" si="6"/>
        <v>-0.27736690950939824</v>
      </c>
      <c r="L26" s="818">
        <f t="shared" si="7"/>
        <v>-2.4580780927803192E-2</v>
      </c>
      <c r="M26" s="821">
        <v>0.24152055811578821</v>
      </c>
      <c r="N26" s="820"/>
    </row>
    <row r="27" spans="1:14">
      <c r="A27" s="592">
        <f t="shared" si="3"/>
        <v>1988</v>
      </c>
      <c r="B27" s="924">
        <v>238.3</v>
      </c>
      <c r="C27" s="807">
        <v>2063.1</v>
      </c>
      <c r="D27" s="808">
        <f t="shared" si="2"/>
        <v>11.550579225437449</v>
      </c>
      <c r="E27" s="809">
        <v>100.5</v>
      </c>
      <c r="F27" s="814">
        <f t="shared" si="0"/>
        <v>106.34920634920636</v>
      </c>
      <c r="G27" s="815">
        <f t="shared" si="4"/>
        <v>5.0000000000001155E-3</v>
      </c>
      <c r="H27" s="814">
        <f t="shared" si="5"/>
        <v>0.52910052910054617</v>
      </c>
      <c r="I27" s="823">
        <f t="shared" si="1"/>
        <v>10.860992406008348</v>
      </c>
      <c r="J27" s="811">
        <v>10.860992406008346</v>
      </c>
      <c r="K27" s="817">
        <f t="shared" si="6"/>
        <v>-0.1455339962553559</v>
      </c>
      <c r="L27" s="818">
        <f t="shared" si="7"/>
        <v>-1.322251825293619E-2</v>
      </c>
      <c r="M27" s="821">
        <v>-0.21735283300522967</v>
      </c>
      <c r="N27" s="820"/>
    </row>
    <row r="28" spans="1:14">
      <c r="A28" s="592">
        <f t="shared" si="3"/>
        <v>1989</v>
      </c>
      <c r="B28" s="924">
        <v>231.8</v>
      </c>
      <c r="C28" s="807">
        <v>1983.6</v>
      </c>
      <c r="D28" s="808">
        <f t="shared" si="2"/>
        <v>11.685823754789274</v>
      </c>
      <c r="E28" s="809">
        <v>100.6</v>
      </c>
      <c r="F28" s="814">
        <f t="shared" si="0"/>
        <v>106.45502645502644</v>
      </c>
      <c r="G28" s="815">
        <f t="shared" si="4"/>
        <v>9.9502487562164177E-4</v>
      </c>
      <c r="H28" s="814">
        <f t="shared" si="5"/>
        <v>0.1058201058200865</v>
      </c>
      <c r="I28" s="823">
        <f t="shared" si="1"/>
        <v>10.977240008226506</v>
      </c>
      <c r="J28" s="811">
        <v>10.977240008226504</v>
      </c>
      <c r="K28" s="817">
        <f t="shared" si="6"/>
        <v>0.11624760221815755</v>
      </c>
      <c r="L28" s="818">
        <f t="shared" si="7"/>
        <v>1.0703221020010003E-2</v>
      </c>
      <c r="M28" s="821">
        <v>0.17684862865924478</v>
      </c>
      <c r="N28" s="820"/>
    </row>
    <row r="29" spans="1:14">
      <c r="A29" s="592">
        <f t="shared" si="3"/>
        <v>1990</v>
      </c>
      <c r="B29" s="924">
        <v>238.8</v>
      </c>
      <c r="C29" s="807">
        <v>2053</v>
      </c>
      <c r="D29" s="808">
        <f t="shared" si="2"/>
        <v>11.631758402338042</v>
      </c>
      <c r="E29" s="809">
        <v>101.4</v>
      </c>
      <c r="F29" s="814">
        <f t="shared" si="0"/>
        <v>107.3015873015873</v>
      </c>
      <c r="G29" s="815">
        <f t="shared" si="4"/>
        <v>7.9522862823062646E-3</v>
      </c>
      <c r="H29" s="814">
        <f t="shared" si="5"/>
        <v>0.8465608465608625</v>
      </c>
      <c r="I29" s="823">
        <f t="shared" si="1"/>
        <v>10.840248215196695</v>
      </c>
      <c r="J29" s="811">
        <v>10.840248215196695</v>
      </c>
      <c r="K29" s="817">
        <f t="shared" si="6"/>
        <v>-0.13699179302980902</v>
      </c>
      <c r="L29" s="818">
        <f t="shared" si="7"/>
        <v>-1.2479620827015293E-2</v>
      </c>
      <c r="M29" s="821">
        <v>0.25338038165271404</v>
      </c>
      <c r="N29" s="820"/>
    </row>
    <row r="30" spans="1:14">
      <c r="A30" s="592">
        <f t="shared" si="3"/>
        <v>1991</v>
      </c>
      <c r="B30" s="924">
        <v>254</v>
      </c>
      <c r="C30" s="807">
        <v>2185.9</v>
      </c>
      <c r="D30" s="808">
        <f t="shared" si="2"/>
        <v>11.619927718559861</v>
      </c>
      <c r="E30" s="809">
        <v>102.7</v>
      </c>
      <c r="F30" s="814">
        <f t="shared" si="0"/>
        <v>108.67724867724868</v>
      </c>
      <c r="G30" s="815">
        <f t="shared" si="4"/>
        <v>1.2820512820512775E-2</v>
      </c>
      <c r="H30" s="814">
        <f t="shared" si="5"/>
        <v>1.3756613756613802</v>
      </c>
      <c r="I30" s="823">
        <f t="shared" si="1"/>
        <v>10.692143811138333</v>
      </c>
      <c r="J30" s="811">
        <v>10.692143811138333</v>
      </c>
      <c r="K30" s="817">
        <f t="shared" si="6"/>
        <v>-0.14810440405836189</v>
      </c>
      <c r="L30" s="818">
        <f t="shared" si="7"/>
        <v>-1.3662455058062023E-2</v>
      </c>
      <c r="M30" s="821">
        <v>-0.18576209245871755</v>
      </c>
      <c r="N30" s="820"/>
    </row>
    <row r="31" spans="1:14">
      <c r="A31" s="592">
        <f t="shared" si="3"/>
        <v>1992</v>
      </c>
      <c r="B31" s="924">
        <v>263.8</v>
      </c>
      <c r="C31" s="807">
        <v>2311.3999999999996</v>
      </c>
      <c r="D31" s="808">
        <f t="shared" si="2"/>
        <v>11.412996452366533</v>
      </c>
      <c r="E31" s="809">
        <v>104.5</v>
      </c>
      <c r="F31" s="814">
        <f t="shared" si="0"/>
        <v>110.58201058201058</v>
      </c>
      <c r="G31" s="815">
        <f t="shared" si="4"/>
        <v>1.7526777020447915E-2</v>
      </c>
      <c r="H31" s="814">
        <f t="shared" si="5"/>
        <v>1.904761904761898</v>
      </c>
      <c r="I31" s="823">
        <f t="shared" si="1"/>
        <v>10.320843681805142</v>
      </c>
      <c r="J31" s="811">
        <v>10.320843681805142</v>
      </c>
      <c r="K31" s="817">
        <f t="shared" si="6"/>
        <v>-0.37130012933319101</v>
      </c>
      <c r="L31" s="818">
        <f>+K31/J30</f>
        <v>-3.472644362923704E-2</v>
      </c>
      <c r="M31" s="821">
        <v>-5.6491274986970597E-2</v>
      </c>
      <c r="N31" s="820"/>
    </row>
    <row r="32" spans="1:14">
      <c r="A32" s="592">
        <f t="shared" si="3"/>
        <v>1993</v>
      </c>
      <c r="B32" s="924">
        <v>281.7</v>
      </c>
      <c r="C32" s="807">
        <v>2486.1999999999998</v>
      </c>
      <c r="D32" s="808">
        <f t="shared" si="2"/>
        <v>11.33054460622637</v>
      </c>
      <c r="E32" s="809">
        <v>105</v>
      </c>
      <c r="F32" s="814">
        <f t="shared" si="0"/>
        <v>111.11111111111111</v>
      </c>
      <c r="G32" s="815">
        <f t="shared" si="4"/>
        <v>4.784688995215447E-3</v>
      </c>
      <c r="H32" s="814">
        <f t="shared" si="5"/>
        <v>0.52910052910053196</v>
      </c>
      <c r="I32" s="823">
        <f t="shared" si="1"/>
        <v>10.197490145603732</v>
      </c>
      <c r="J32" s="811">
        <v>10.197490145603734</v>
      </c>
      <c r="K32" s="817">
        <f t="shared" si="6"/>
        <v>-0.12335353620140843</v>
      </c>
      <c r="L32" s="818">
        <f t="shared" si="7"/>
        <v>-1.1951884943172938E-2</v>
      </c>
      <c r="M32" s="821">
        <v>-0.13863043404152764</v>
      </c>
      <c r="N32" s="820"/>
    </row>
    <row r="33" spans="1:22">
      <c r="A33" s="592">
        <f t="shared" si="3"/>
        <v>1994</v>
      </c>
      <c r="B33" s="924">
        <v>304.2</v>
      </c>
      <c r="C33" s="807">
        <v>2671.9</v>
      </c>
      <c r="D33" s="808">
        <f t="shared" si="2"/>
        <v>11.385156630113402</v>
      </c>
      <c r="E33" s="809">
        <v>106.4</v>
      </c>
      <c r="F33" s="814">
        <f t="shared" si="0"/>
        <v>112.5925925925926</v>
      </c>
      <c r="G33" s="815">
        <f t="shared" si="4"/>
        <v>1.3333333333333419E-2</v>
      </c>
      <c r="H33" s="814">
        <f t="shared" si="5"/>
        <v>1.481481481481481</v>
      </c>
      <c r="I33" s="823">
        <f t="shared" si="1"/>
        <v>10.111816743850719</v>
      </c>
      <c r="J33" s="811">
        <v>10.111816743850719</v>
      </c>
      <c r="K33" s="817">
        <f t="shared" si="6"/>
        <v>-8.5673401753014744E-2</v>
      </c>
      <c r="L33" s="818">
        <f t="shared" si="7"/>
        <v>-8.4014204014651213E-3</v>
      </c>
      <c r="M33" s="821">
        <v>-8.6852323251845331E-2</v>
      </c>
      <c r="N33" s="820"/>
    </row>
    <row r="34" spans="1:22">
      <c r="A34" s="592">
        <f t="shared" si="3"/>
        <v>1995</v>
      </c>
      <c r="B34" s="924">
        <v>324.3</v>
      </c>
      <c r="C34" s="807">
        <v>2869.6000000000004</v>
      </c>
      <c r="D34" s="808">
        <f t="shared" si="2"/>
        <v>11.301226651798158</v>
      </c>
      <c r="E34" s="809">
        <v>107.4</v>
      </c>
      <c r="F34" s="814">
        <f t="shared" si="0"/>
        <v>113.65079365079364</v>
      </c>
      <c r="G34" s="815">
        <f t="shared" si="4"/>
        <v>9.3984962406015171E-3</v>
      </c>
      <c r="H34" s="814">
        <f t="shared" si="5"/>
        <v>1.0582010582010497</v>
      </c>
      <c r="I34" s="823">
        <f t="shared" si="1"/>
        <v>9.9438167466939102</v>
      </c>
      <c r="J34" s="811">
        <v>9.9438167466939102</v>
      </c>
      <c r="K34" s="817">
        <f t="shared" si="6"/>
        <v>-0.16799999715680869</v>
      </c>
      <c r="L34" s="818">
        <f t="shared" si="7"/>
        <v>-1.6614224863101306E-2</v>
      </c>
      <c r="M34" s="821">
        <v>5.1231644534210474E-2</v>
      </c>
      <c r="N34" s="820"/>
    </row>
    <row r="35" spans="1:22">
      <c r="A35" s="592">
        <f t="shared" si="3"/>
        <v>1996</v>
      </c>
      <c r="B35" s="924">
        <v>333.9</v>
      </c>
      <c r="C35" s="807">
        <v>2984</v>
      </c>
      <c r="D35" s="808">
        <f t="shared" si="2"/>
        <v>11.189678284182305</v>
      </c>
      <c r="E35" s="809">
        <v>108.8</v>
      </c>
      <c r="F35" s="814">
        <f t="shared" si="0"/>
        <v>115.13227513227513</v>
      </c>
      <c r="G35" s="815">
        <f t="shared" si="4"/>
        <v>1.3035381750465591E-2</v>
      </c>
      <c r="H35" s="814">
        <f t="shared" si="5"/>
        <v>1.481481481481481</v>
      </c>
      <c r="I35" s="823">
        <f t="shared" si="1"/>
        <v>9.7189760832281973</v>
      </c>
      <c r="J35" s="811">
        <v>9.7189760832281973</v>
      </c>
      <c r="K35" s="817">
        <f t="shared" si="6"/>
        <v>-0.22484066346571296</v>
      </c>
      <c r="L35" s="818">
        <f t="shared" si="7"/>
        <v>-2.2611102878627293E-2</v>
      </c>
      <c r="M35" s="821">
        <v>0.19004386553873975</v>
      </c>
      <c r="N35" s="820"/>
    </row>
    <row r="36" spans="1:22">
      <c r="A36" s="592">
        <f t="shared" si="3"/>
        <v>1997</v>
      </c>
      <c r="B36" s="924">
        <v>362.9</v>
      </c>
      <c r="C36" s="807">
        <v>3302.1</v>
      </c>
      <c r="D36" s="808">
        <f t="shared" si="2"/>
        <v>10.989976075830532</v>
      </c>
      <c r="E36" s="809">
        <v>110.1</v>
      </c>
      <c r="F36" s="824">
        <f t="shared" si="0"/>
        <v>116.50793650793649</v>
      </c>
      <c r="G36" s="815">
        <f t="shared" si="4"/>
        <v>1.1948529411764719E-2</v>
      </c>
      <c r="H36" s="824">
        <f t="shared" si="5"/>
        <v>1.375661375661366</v>
      </c>
      <c r="I36" s="825">
        <f t="shared" si="1"/>
        <v>9.4328132530970521</v>
      </c>
      <c r="J36" s="811">
        <v>9.4328132530970503</v>
      </c>
      <c r="K36" s="826">
        <f t="shared" si="6"/>
        <v>-0.28616283013114696</v>
      </c>
      <c r="L36" s="827">
        <f t="shared" si="7"/>
        <v>-2.9443722021805493E-2</v>
      </c>
      <c r="M36" s="828">
        <v>-9.0199492086296199E-2</v>
      </c>
      <c r="N36" s="829"/>
    </row>
    <row r="37" spans="1:22">
      <c r="A37" s="592">
        <f t="shared" si="3"/>
        <v>1998</v>
      </c>
      <c r="B37" s="924">
        <v>377.3</v>
      </c>
      <c r="C37" s="807">
        <v>3392.3000999999999</v>
      </c>
      <c r="D37" s="808">
        <f t="shared" si="2"/>
        <v>11.122247114870527</v>
      </c>
      <c r="E37" s="809">
        <v>110.9</v>
      </c>
      <c r="F37" s="810">
        <f t="shared" si="0"/>
        <v>117.35449735449737</v>
      </c>
      <c r="G37" s="815">
        <f t="shared" si="4"/>
        <v>7.2661217075389306E-3</v>
      </c>
      <c r="H37" s="810">
        <f t="shared" si="5"/>
        <v>0.84656084656087671</v>
      </c>
      <c r="I37" s="811">
        <f t="shared" si="1"/>
        <v>9.4774783801196083</v>
      </c>
      <c r="J37" s="811">
        <v>9.4774783801196083</v>
      </c>
      <c r="K37" s="812">
        <f t="shared" si="6"/>
        <v>4.4665127022557982E-2</v>
      </c>
      <c r="L37" s="830">
        <f t="shared" si="7"/>
        <v>4.7350801742940471E-3</v>
      </c>
      <c r="M37" s="831">
        <v>-0.33974532620474401</v>
      </c>
      <c r="N37" s="832">
        <f>+L38</f>
        <v>-0.10130274807769206</v>
      </c>
      <c r="V37" s="833">
        <f>+N37-M37</f>
        <v>0.23844257812705194</v>
      </c>
    </row>
    <row r="38" spans="1:22">
      <c r="A38" s="592">
        <f t="shared" si="3"/>
        <v>1999</v>
      </c>
      <c r="B38" s="924">
        <v>362.8</v>
      </c>
      <c r="C38" s="807">
        <v>3578.0001000000002</v>
      </c>
      <c r="D38" s="808">
        <f t="shared" si="2"/>
        <v>10.139742589722118</v>
      </c>
      <c r="E38" s="809">
        <v>112.5</v>
      </c>
      <c r="F38" s="814">
        <f t="shared" si="0"/>
        <v>119.04761904761905</v>
      </c>
      <c r="G38" s="815">
        <f t="shared" si="4"/>
        <v>1.4427412082957503E-2</v>
      </c>
      <c r="H38" s="814">
        <f t="shared" si="5"/>
        <v>1.6931216931216824</v>
      </c>
      <c r="I38" s="823">
        <f t="shared" si="1"/>
        <v>8.5173837753665786</v>
      </c>
      <c r="J38" s="811">
        <v>8.5173837753665786</v>
      </c>
      <c r="K38" s="817">
        <f t="shared" si="6"/>
        <v>-0.96009460475302966</v>
      </c>
      <c r="L38" s="818">
        <f t="shared" si="7"/>
        <v>-0.10130274807769206</v>
      </c>
      <c r="M38" s="821">
        <v>0.38249993737049515</v>
      </c>
      <c r="N38" s="834">
        <f>+L39</f>
        <v>9.7519441132303833E-2</v>
      </c>
      <c r="V38" s="833">
        <f t="shared" ref="V38:V45" si="8">+N38-M38</f>
        <v>-0.28498049623819133</v>
      </c>
    </row>
    <row r="39" spans="1:22">
      <c r="A39" s="592">
        <f t="shared" si="3"/>
        <v>2000</v>
      </c>
      <c r="B39" s="924">
        <v>429.4</v>
      </c>
      <c r="C39" s="807">
        <v>3801.1001000000001</v>
      </c>
      <c r="D39" s="808">
        <f t="shared" si="2"/>
        <v>11.296729596781731</v>
      </c>
      <c r="E39" s="809">
        <v>114.2</v>
      </c>
      <c r="F39" s="814">
        <f t="shared" si="0"/>
        <v>120.84656084656085</v>
      </c>
      <c r="G39" s="815">
        <f t="shared" si="4"/>
        <v>1.5111111111111075E-2</v>
      </c>
      <c r="H39" s="814">
        <f t="shared" si="5"/>
        <v>1.7989417989417973</v>
      </c>
      <c r="I39" s="823">
        <f t="shared" si="1"/>
        <v>9.3479942810496812</v>
      </c>
      <c r="J39" s="811">
        <v>9.3479942810496794</v>
      </c>
      <c r="K39" s="817">
        <f t="shared" si="6"/>
        <v>0.8306105056831008</v>
      </c>
      <c r="L39" s="818">
        <f t="shared" si="7"/>
        <v>9.7519441132303833E-2</v>
      </c>
      <c r="M39" s="821">
        <v>0.56717232473651402</v>
      </c>
      <c r="N39" s="834">
        <f t="shared" ref="N38:N49" si="9">+L40</f>
        <v>3.2162238467329685E-2</v>
      </c>
      <c r="V39" s="833">
        <f t="shared" si="8"/>
        <v>-0.53501008626918434</v>
      </c>
    </row>
    <row r="40" spans="1:22">
      <c r="A40" s="592">
        <f t="shared" si="3"/>
        <v>2001</v>
      </c>
      <c r="B40" s="924">
        <v>459.9</v>
      </c>
      <c r="C40" s="807">
        <v>3933.9000999999998</v>
      </c>
      <c r="D40" s="808">
        <f t="shared" si="2"/>
        <v>11.690688332426133</v>
      </c>
      <c r="E40" s="809">
        <v>114.5</v>
      </c>
      <c r="F40" s="814">
        <f t="shared" si="0"/>
        <v>121.16402116402116</v>
      </c>
      <c r="G40" s="815">
        <f t="shared" si="4"/>
        <v>2.6269702276706663E-3</v>
      </c>
      <c r="H40" s="814">
        <f t="shared" si="5"/>
        <v>0.31746031746031633</v>
      </c>
      <c r="I40" s="823">
        <f t="shared" si="1"/>
        <v>9.6486467023080298</v>
      </c>
      <c r="J40" s="811">
        <v>9.6486467023080333</v>
      </c>
      <c r="K40" s="817">
        <f t="shared" si="6"/>
        <v>0.3006524212583539</v>
      </c>
      <c r="L40" s="818">
        <f t="shared" si="7"/>
        <v>3.2162238467329685E-2</v>
      </c>
      <c r="M40" s="821">
        <v>-0.1653970138754568</v>
      </c>
      <c r="N40" s="834">
        <f t="shared" si="9"/>
        <v>-7.3428760473602417E-2</v>
      </c>
      <c r="V40" s="833">
        <f t="shared" si="8"/>
        <v>9.1968253401854383E-2</v>
      </c>
    </row>
    <row r="41" spans="1:22">
      <c r="A41" s="592">
        <f t="shared" si="3"/>
        <v>2002</v>
      </c>
      <c r="B41" s="924">
        <v>450.2</v>
      </c>
      <c r="C41" s="807">
        <v>4113.0001000000002</v>
      </c>
      <c r="D41" s="808">
        <f t="shared" si="2"/>
        <v>10.945781401755861</v>
      </c>
      <c r="E41" s="809">
        <v>115.7</v>
      </c>
      <c r="F41" s="814">
        <f t="shared" si="0"/>
        <v>122.43386243386243</v>
      </c>
      <c r="G41" s="815">
        <f t="shared" si="4"/>
        <v>1.0480349344978102E-2</v>
      </c>
      <c r="H41" s="814">
        <f t="shared" si="5"/>
        <v>1.2698412698412653</v>
      </c>
      <c r="I41" s="823">
        <f t="shared" si="1"/>
        <v>8.9401585347098429</v>
      </c>
      <c r="J41" s="811">
        <v>8.9401585347098429</v>
      </c>
      <c r="K41" s="817">
        <f t="shared" si="6"/>
        <v>-0.70848816759819044</v>
      </c>
      <c r="L41" s="818">
        <f t="shared" si="7"/>
        <v>-7.3428760473602417E-2</v>
      </c>
      <c r="M41" s="821">
        <v>5.3893369194222274E-3</v>
      </c>
      <c r="N41" s="834">
        <f t="shared" si="9"/>
        <v>5.8015603776422613E-2</v>
      </c>
      <c r="V41" s="833">
        <f t="shared" si="8"/>
        <v>5.2626266857000385E-2</v>
      </c>
    </row>
    <row r="42" spans="1:22">
      <c r="A42" s="592">
        <f t="shared" si="3"/>
        <v>2003</v>
      </c>
      <c r="B42" s="924">
        <v>499.2</v>
      </c>
      <c r="C42" s="807">
        <v>4306.8578000000007</v>
      </c>
      <c r="D42" s="808">
        <f>+B42/C42*100</f>
        <v>11.590816859567546</v>
      </c>
      <c r="E42" s="809">
        <v>115.8</v>
      </c>
      <c r="F42" s="814">
        <f t="shared" si="0"/>
        <v>122.53968253968253</v>
      </c>
      <c r="G42" s="815">
        <f t="shared" si="4"/>
        <v>8.6430423509065157E-4</v>
      </c>
      <c r="H42" s="814">
        <f t="shared" si="5"/>
        <v>0.10582010582010071</v>
      </c>
      <c r="I42" s="823">
        <f t="shared" si="1"/>
        <v>9.4588272299579721</v>
      </c>
      <c r="J42" s="811">
        <v>9.4588272299579721</v>
      </c>
      <c r="K42" s="817">
        <f t="shared" si="6"/>
        <v>0.5186686952481292</v>
      </c>
      <c r="L42" s="818">
        <f>+K42/J41</f>
        <v>5.8015603776422613E-2</v>
      </c>
      <c r="M42" s="821">
        <v>0.13068209171383027</v>
      </c>
      <c r="N42" s="834">
        <f t="shared" si="9"/>
        <v>1.7533479330438053E-2</v>
      </c>
      <c r="V42" s="833">
        <f t="shared" si="8"/>
        <v>-0.11314861238339222</v>
      </c>
    </row>
    <row r="43" spans="1:22">
      <c r="A43" s="592">
        <f t="shared" si="3"/>
        <v>2004</v>
      </c>
      <c r="B43" s="924">
        <v>544.29999999999995</v>
      </c>
      <c r="C43" s="807">
        <v>4595.2000999999991</v>
      </c>
      <c r="D43" s="808">
        <f t="shared" si="2"/>
        <v>11.844968405184359</v>
      </c>
      <c r="E43" s="809">
        <v>116.3</v>
      </c>
      <c r="F43" s="814">
        <f t="shared" si="0"/>
        <v>123.06878306878306</v>
      </c>
      <c r="G43" s="815">
        <f t="shared" si="4"/>
        <v>4.3177892918826455E-3</v>
      </c>
      <c r="H43" s="814">
        <f t="shared" si="5"/>
        <v>0.52910052910053196</v>
      </c>
      <c r="I43" s="823">
        <f t="shared" si="1"/>
        <v>9.6246733816846248</v>
      </c>
      <c r="J43" s="811">
        <v>9.6246733816846248</v>
      </c>
      <c r="K43" s="817">
        <f t="shared" si="6"/>
        <v>0.16584615172665274</v>
      </c>
      <c r="L43" s="818">
        <f t="shared" si="7"/>
        <v>1.7533479330438053E-2</v>
      </c>
      <c r="M43" s="821">
        <v>0.28984562092552357</v>
      </c>
      <c r="N43" s="834">
        <f t="shared" si="9"/>
        <v>0.10370188309610522</v>
      </c>
      <c r="V43" s="833">
        <f t="shared" si="8"/>
        <v>-0.18614373782941834</v>
      </c>
    </row>
    <row r="44" spans="1:22">
      <c r="A44" s="592">
        <f t="shared" si="3"/>
        <v>2005</v>
      </c>
      <c r="B44" s="924">
        <v>643.28098</v>
      </c>
      <c r="C44" s="807">
        <v>4780.8000999999995</v>
      </c>
      <c r="D44" s="808">
        <f t="shared" si="2"/>
        <v>13.45550883836369</v>
      </c>
      <c r="E44" s="809">
        <v>119.7</v>
      </c>
      <c r="F44" s="814">
        <f t="shared" si="0"/>
        <v>126.66666666666666</v>
      </c>
      <c r="G44" s="815">
        <f t="shared" si="4"/>
        <v>2.923473774720553E-2</v>
      </c>
      <c r="H44" s="814">
        <f t="shared" si="5"/>
        <v>3.5978835978835946</v>
      </c>
      <c r="I44" s="823">
        <f t="shared" si="1"/>
        <v>10.622770135550281</v>
      </c>
      <c r="J44" s="811">
        <v>10.622770135550279</v>
      </c>
      <c r="K44" s="817">
        <f t="shared" si="6"/>
        <v>0.99809675386565466</v>
      </c>
      <c r="L44" s="818">
        <f t="shared" si="7"/>
        <v>0.10370188309610522</v>
      </c>
      <c r="M44" s="821">
        <v>0.38045269733403053</v>
      </c>
      <c r="N44" s="834">
        <f t="shared" si="9"/>
        <v>8.1461882075710132E-2</v>
      </c>
      <c r="V44" s="833">
        <f t="shared" si="8"/>
        <v>-0.29899081525832039</v>
      </c>
    </row>
    <row r="45" spans="1:22">
      <c r="A45" s="592">
        <f t="shared" si="3"/>
        <v>2006</v>
      </c>
      <c r="B45" s="924">
        <v>735.902737</v>
      </c>
      <c r="C45" s="807">
        <v>4933.5401099999999</v>
      </c>
      <c r="D45" s="808">
        <f t="shared" si="2"/>
        <v>14.916322166072346</v>
      </c>
      <c r="E45" s="809">
        <v>122.7</v>
      </c>
      <c r="F45" s="824">
        <f t="shared" si="0"/>
        <v>129.84126984126985</v>
      </c>
      <c r="G45" s="815">
        <f t="shared" si="4"/>
        <v>2.506265664160412E-2</v>
      </c>
      <c r="H45" s="824">
        <f t="shared" si="5"/>
        <v>3.1746031746031917</v>
      </c>
      <c r="I45" s="825">
        <f t="shared" si="1"/>
        <v>11.48812098364985</v>
      </c>
      <c r="J45" s="811">
        <v>11.488120983649852</v>
      </c>
      <c r="K45" s="826">
        <f t="shared" si="6"/>
        <v>0.86535084809957219</v>
      </c>
      <c r="L45" s="827">
        <f t="shared" si="7"/>
        <v>8.1461882075710132E-2</v>
      </c>
      <c r="M45" s="828">
        <v>0.15669001733751609</v>
      </c>
      <c r="N45" s="835">
        <f t="shared" si="9"/>
        <v>3.4049359929538619E-3</v>
      </c>
      <c r="V45" s="833">
        <f t="shared" si="8"/>
        <v>-0.15328508134456223</v>
      </c>
    </row>
    <row r="46" spans="1:22">
      <c r="A46" s="592">
        <f t="shared" si="3"/>
        <v>2007</v>
      </c>
      <c r="B46" s="924">
        <v>826.54734499999995</v>
      </c>
      <c r="C46" s="807">
        <v>5297.9001099999996</v>
      </c>
      <c r="D46" s="808">
        <f t="shared" si="2"/>
        <v>15.601414293181154</v>
      </c>
      <c r="E46" s="809">
        <v>127.9</v>
      </c>
      <c r="F46" s="824">
        <f t="shared" si="0"/>
        <v>135.34391534391534</v>
      </c>
      <c r="G46" s="815">
        <f t="shared" si="4"/>
        <v>4.2379788101059468E-2</v>
      </c>
      <c r="H46" s="824">
        <f t="shared" si="5"/>
        <v>5.5026455026454926</v>
      </c>
      <c r="I46" s="825">
        <f t="shared" si="1"/>
        <v>11.527237300278491</v>
      </c>
      <c r="J46" s="811">
        <v>11.52723730027849</v>
      </c>
      <c r="K46" s="826">
        <f t="shared" si="6"/>
        <v>3.9116316628637904E-2</v>
      </c>
      <c r="L46" s="827">
        <f t="shared" si="7"/>
        <v>3.4049359929538619E-3</v>
      </c>
      <c r="M46" s="828">
        <v>8.037016851394152E-2</v>
      </c>
      <c r="N46" s="835">
        <f t="shared" si="9"/>
        <v>0.14576273583424199</v>
      </c>
      <c r="V46" s="833"/>
    </row>
    <row r="47" spans="1:22">
      <c r="A47" s="592">
        <f t="shared" si="3"/>
        <v>2008</v>
      </c>
      <c r="B47" s="924">
        <v>1061.1320000000001</v>
      </c>
      <c r="C47" s="807">
        <v>5462.1860999999999</v>
      </c>
      <c r="D47" s="808">
        <f t="shared" si="2"/>
        <v>19.426873793260178</v>
      </c>
      <c r="E47" s="809">
        <v>139</v>
      </c>
      <c r="F47" s="824">
        <f t="shared" si="0"/>
        <v>147.08994708994709</v>
      </c>
      <c r="G47" s="815">
        <f t="shared" si="4"/>
        <v>8.6786551993745187E-2</v>
      </c>
      <c r="H47" s="824">
        <f t="shared" si="5"/>
        <v>11.746031746031747</v>
      </c>
      <c r="I47" s="825">
        <f t="shared" si="1"/>
        <v>13.207478945777604</v>
      </c>
      <c r="J47" s="811">
        <v>13.207478945777604</v>
      </c>
      <c r="K47" s="826">
        <f>+J47-J46</f>
        <v>1.6802416454991143</v>
      </c>
      <c r="L47" s="827">
        <f t="shared" si="7"/>
        <v>0.14576273583424199</v>
      </c>
      <c r="M47" s="948">
        <v>0.30918690758650835</v>
      </c>
      <c r="N47" s="835">
        <f t="shared" si="9"/>
        <v>-0.16273597855540087</v>
      </c>
      <c r="V47" s="833"/>
    </row>
    <row r="48" spans="1:22">
      <c r="A48" s="592">
        <f t="shared" si="3"/>
        <v>2009</v>
      </c>
      <c r="B48" s="924">
        <v>955.46</v>
      </c>
      <c r="C48" s="926">
        <v>5737.9539999999997</v>
      </c>
      <c r="D48" s="816">
        <f t="shared" si="2"/>
        <v>16.651579988267596</v>
      </c>
      <c r="E48" s="927">
        <v>142.30000000000001</v>
      </c>
      <c r="F48" s="814">
        <f>+E48/$E$21*100</f>
        <v>150.58201058201058</v>
      </c>
      <c r="G48" s="815">
        <f>F48/F47-1</f>
        <v>2.3741007194244546E-2</v>
      </c>
      <c r="H48" s="814">
        <f>+F48-F47</f>
        <v>3.4920634920634939</v>
      </c>
      <c r="I48" s="823">
        <f>+D48*$F$21/F48</f>
        <v>11.058146935286631</v>
      </c>
      <c r="J48" s="823">
        <v>11.058146935286631</v>
      </c>
      <c r="K48" s="817">
        <f>+J48-J47</f>
        <v>-2.1493320104909728</v>
      </c>
      <c r="L48" s="818">
        <f>+K48/J47</f>
        <v>-0.16273597855540087</v>
      </c>
      <c r="M48" s="948">
        <v>-0.3686178146706881</v>
      </c>
      <c r="N48" s="835">
        <f t="shared" si="9"/>
        <v>-4.3667000127968703E-2</v>
      </c>
      <c r="V48" s="833"/>
    </row>
    <row r="49" spans="1:30">
      <c r="A49" s="592">
        <f t="shared" si="3"/>
        <v>2010</v>
      </c>
      <c r="B49" s="924">
        <v>1027.3649</v>
      </c>
      <c r="C49" s="926">
        <v>6232.4999999999991</v>
      </c>
      <c r="D49" s="816">
        <f>+B49/C49*100</f>
        <v>16.483993582029687</v>
      </c>
      <c r="E49" s="927">
        <v>147.30000000000001</v>
      </c>
      <c r="F49" s="814">
        <f t="shared" ref="F49:F50" si="10">+E49/$E$21*100</f>
        <v>155.87301587301587</v>
      </c>
      <c r="G49" s="815">
        <f t="shared" ref="G49:G51" si="11">F49/F48-1</f>
        <v>3.5137034434293835E-2</v>
      </c>
      <c r="H49" s="814">
        <f>+F49-F48</f>
        <v>5.2910052910052912</v>
      </c>
      <c r="I49" s="823">
        <f t="shared" ref="I49:I51" si="12">+D49*$F$21/F49</f>
        <v>10.575270831648373</v>
      </c>
      <c r="J49" s="823">
        <v>10.575270831648373</v>
      </c>
      <c r="K49" s="817">
        <f>+J49-J48</f>
        <v>-0.48287610363825806</v>
      </c>
      <c r="L49" s="818">
        <f>+K49/J48</f>
        <v>-4.3667000127968703E-2</v>
      </c>
      <c r="M49" s="948">
        <v>0.27243185015875948</v>
      </c>
      <c r="N49" s="835">
        <f t="shared" si="9"/>
        <v>-7.4265357226446546E-2</v>
      </c>
      <c r="U49" s="238" t="s">
        <v>477</v>
      </c>
      <c r="V49" s="833">
        <f>AVERAGE(V37:V45)</f>
        <v>-0.13205797010412915</v>
      </c>
    </row>
    <row r="50" spans="1:30">
      <c r="A50" s="592">
        <f t="shared" si="3"/>
        <v>2011</v>
      </c>
      <c r="B50" s="924">
        <v>1066.5999999999999</v>
      </c>
      <c r="C50" s="926">
        <v>6599.7999999999993</v>
      </c>
      <c r="D50" s="816">
        <f t="shared" si="2"/>
        <v>16.161095790781541</v>
      </c>
      <c r="E50" s="927">
        <v>156</v>
      </c>
      <c r="F50" s="814">
        <f t="shared" si="10"/>
        <v>165.07936507936506</v>
      </c>
      <c r="G50" s="815">
        <f t="shared" si="11"/>
        <v>5.9063136456211751E-2</v>
      </c>
      <c r="H50" s="814">
        <f t="shared" ref="H50" si="13">+F50-F49</f>
        <v>9.2063492063491879</v>
      </c>
      <c r="I50" s="823">
        <f t="shared" si="12"/>
        <v>9.7898945655695897</v>
      </c>
      <c r="J50" s="823">
        <v>9.7898945655695861</v>
      </c>
      <c r="K50" s="817">
        <f t="shared" ref="K50:K51" si="14">+J50-J49</f>
        <v>-0.78537626607878686</v>
      </c>
      <c r="L50" s="818">
        <f t="shared" ref="L50" si="15">+K50/J49</f>
        <v>-7.4265357226446546E-2</v>
      </c>
      <c r="M50" s="948">
        <v>0.36839356548665081</v>
      </c>
      <c r="N50" s="835">
        <f>+L51</f>
        <v>-7.3672805180489867E-2</v>
      </c>
      <c r="V50" s="833"/>
    </row>
    <row r="51" spans="1:30">
      <c r="A51" s="592">
        <f t="shared" si="3"/>
        <v>2012</v>
      </c>
      <c r="B51" s="924">
        <v>1127.1012174713392</v>
      </c>
      <c r="C51" s="926">
        <v>7105.2513387522413</v>
      </c>
      <c r="D51" s="816">
        <f>+B51/C51*100</f>
        <v>15.862932410625607</v>
      </c>
      <c r="E51" s="927">
        <v>165.3</v>
      </c>
      <c r="F51" s="814">
        <f>+E51/$E$21*100</f>
        <v>174.92063492063494</v>
      </c>
      <c r="G51" s="815">
        <f t="shared" si="11"/>
        <v>5.9615384615384848E-2</v>
      </c>
      <c r="H51" s="814">
        <f>+F51-F50</f>
        <v>9.8412698412698774</v>
      </c>
      <c r="I51" s="823">
        <f t="shared" si="12"/>
        <v>9.0686455705028415</v>
      </c>
      <c r="J51" s="823">
        <v>9.0686455705028415</v>
      </c>
      <c r="K51" s="817">
        <f t="shared" si="14"/>
        <v>-0.72124899506674467</v>
      </c>
      <c r="L51" s="818">
        <f>+K51/J50</f>
        <v>-7.3672805180489867E-2</v>
      </c>
      <c r="M51" s="948"/>
      <c r="V51" s="833"/>
    </row>
    <row r="52" spans="1:30">
      <c r="A52" s="247"/>
      <c r="B52" s="806"/>
      <c r="C52" s="919"/>
      <c r="D52" s="920"/>
      <c r="E52" s="921"/>
      <c r="J52" s="922"/>
      <c r="K52" s="923"/>
      <c r="L52" s="836"/>
      <c r="V52" s="833"/>
    </row>
    <row r="53" spans="1:30">
      <c r="M53" s="836">
        <v>-0.37460099892771698</v>
      </c>
      <c r="U53" s="238" t="s">
        <v>478</v>
      </c>
      <c r="V53" s="833">
        <f>AVERAGE(V39:V45)</f>
        <v>-0.16314054468943182</v>
      </c>
    </row>
    <row r="54" spans="1:30">
      <c r="L54" s="836">
        <f>AVERAGE(L10:L49)</f>
        <v>1.4708858256647079E-2</v>
      </c>
      <c r="U54" s="238" t="s">
        <v>479</v>
      </c>
      <c r="V54" s="833">
        <f>AVERAGE(V41:V45)</f>
        <v>-0.13978839599173856</v>
      </c>
    </row>
    <row r="55" spans="1:30">
      <c r="J55" s="239" t="s">
        <v>480</v>
      </c>
      <c r="L55" s="837" t="s">
        <v>1</v>
      </c>
      <c r="M55" s="837" t="s">
        <v>481</v>
      </c>
      <c r="U55" s="238" t="s">
        <v>482</v>
      </c>
      <c r="V55" s="833">
        <f>AVERAGE(V42:V45)</f>
        <v>-0.18789206170392328</v>
      </c>
    </row>
    <row r="56" spans="1:30">
      <c r="D56" s="264">
        <f>AVERAGE(D10:D51)</f>
        <v>10.958978396245763</v>
      </c>
      <c r="E56" s="735">
        <f>RATE($A$51-$A$9,,-D9,D51)</f>
        <v>4.104744518482395E-2</v>
      </c>
      <c r="J56" s="239" t="s">
        <v>541</v>
      </c>
      <c r="L56" s="735">
        <f>AVERAGE(L10:L51)</f>
        <v>1.0486099234736826E-2</v>
      </c>
      <c r="M56" s="735">
        <f>RATE($A$49-$A$9,,-J9,J49)</f>
        <v>1.2019231499960276E-2</v>
      </c>
    </row>
    <row r="57" spans="1:30">
      <c r="D57" s="238">
        <f>(D56/100)*1000</f>
        <v>109.58978396245763</v>
      </c>
      <c r="J57" s="239" t="s">
        <v>483</v>
      </c>
      <c r="L57" s="735">
        <f>AVERAGE(L10:L37)</f>
        <v>1.5354522064108636E-2</v>
      </c>
      <c r="M57" s="735">
        <f>RATE($A$37-$A$9,,-J9,J37)</f>
        <v>1.3240565757909144E-2</v>
      </c>
    </row>
    <row r="58" spans="1:30">
      <c r="J58" s="239" t="s">
        <v>542</v>
      </c>
      <c r="L58" s="735">
        <f>AVERAGE(L38:L51)</f>
        <v>7.4925357599320481E-4</v>
      </c>
      <c r="M58" s="735">
        <f>RATE($A$51-$A$38,,-J38,J51)</f>
        <v>4.8357854061769926E-3</v>
      </c>
    </row>
    <row r="59" spans="1:30">
      <c r="J59" s="239" t="s">
        <v>544</v>
      </c>
      <c r="L59" s="735">
        <f>AVERAGE(L39:L45)</f>
        <v>4.5280823914958156E-2</v>
      </c>
      <c r="M59" s="735">
        <f>RATE($A$45-$A$38,,-J39,J45)</f>
        <v>2.9888195591687587E-2</v>
      </c>
    </row>
    <row r="60" spans="1:30">
      <c r="J60" s="239" t="s">
        <v>543</v>
      </c>
      <c r="L60" s="735">
        <f>AVERAGE(L46:L51)</f>
        <v>-3.4195578210518357E-2</v>
      </c>
      <c r="M60" s="735">
        <f>RATE($A$51-$A$44,,-J44,J51)</f>
        <v>-2.2343306908337562E-2</v>
      </c>
    </row>
    <row r="61" spans="1:30" ht="13.5" thickBot="1">
      <c r="L61" s="836"/>
    </row>
    <row r="62" spans="1:30" ht="13.5" thickTop="1">
      <c r="L62" s="836"/>
      <c r="Z62" s="838"/>
      <c r="AA62" s="839"/>
      <c r="AB62" s="839"/>
      <c r="AC62" s="839"/>
      <c r="AD62" s="840"/>
    </row>
    <row r="63" spans="1:30">
      <c r="Z63" s="841"/>
      <c r="AA63" s="247"/>
      <c r="AB63" s="247"/>
      <c r="AC63" s="247"/>
      <c r="AD63" s="842"/>
    </row>
    <row r="64" spans="1:30" ht="15.75">
      <c r="L64" s="836"/>
      <c r="Z64" s="841"/>
      <c r="AA64" s="843"/>
      <c r="AB64" s="844" t="s">
        <v>476</v>
      </c>
      <c r="AC64" s="843"/>
      <c r="AD64" s="842"/>
    </row>
    <row r="65" spans="9:30" ht="16.5" thickBot="1">
      <c r="Z65" s="841"/>
      <c r="AA65" s="845" t="s">
        <v>69</v>
      </c>
      <c r="AB65" s="843"/>
      <c r="AC65" s="845" t="s">
        <v>484</v>
      </c>
      <c r="AD65" s="842"/>
    </row>
    <row r="66" spans="9:30" ht="16.5" thickTop="1">
      <c r="I66" s="1350" t="s">
        <v>485</v>
      </c>
      <c r="J66" s="1351"/>
      <c r="K66" s="1351"/>
      <c r="L66" s="1361" t="s">
        <v>69</v>
      </c>
      <c r="M66" s="1362"/>
      <c r="N66" s="1362"/>
      <c r="O66" s="1362"/>
      <c r="P66" s="1362"/>
      <c r="Q66" s="1362"/>
      <c r="R66" s="1362"/>
      <c r="S66" s="1362"/>
      <c r="T66" s="1362"/>
      <c r="U66" s="1363"/>
      <c r="Z66" s="841"/>
      <c r="AA66" s="843"/>
      <c r="AB66" s="843"/>
      <c r="AC66" s="843" t="s">
        <v>486</v>
      </c>
      <c r="AD66" s="842"/>
    </row>
    <row r="67" spans="9:30">
      <c r="I67" s="1352"/>
      <c r="J67" s="1353"/>
      <c r="K67" s="1353"/>
      <c r="L67" s="939">
        <v>2003</v>
      </c>
      <c r="M67" s="940">
        <v>2004</v>
      </c>
      <c r="N67" s="940">
        <v>2005</v>
      </c>
      <c r="O67" s="940">
        <v>2006</v>
      </c>
      <c r="P67" s="940">
        <v>2007</v>
      </c>
      <c r="Q67" s="940">
        <v>2008</v>
      </c>
      <c r="R67" s="940">
        <v>2009</v>
      </c>
      <c r="S67" s="940">
        <v>2010</v>
      </c>
      <c r="T67" s="940">
        <v>2011</v>
      </c>
      <c r="U67" s="947">
        <v>2012</v>
      </c>
      <c r="Z67" s="841"/>
      <c r="AA67" s="247"/>
      <c r="AB67" s="247"/>
      <c r="AC67" s="247"/>
      <c r="AD67" s="842"/>
    </row>
    <row r="68" spans="9:30" ht="12.75" customHeight="1">
      <c r="I68" s="1357" t="s">
        <v>487</v>
      </c>
      <c r="J68" s="1358"/>
      <c r="K68" s="1364"/>
      <c r="L68" s="930">
        <f>AC69</f>
        <v>105.5</v>
      </c>
      <c r="M68" s="931">
        <f>AC70</f>
        <v>105.7</v>
      </c>
      <c r="N68" s="931">
        <f>AC71</f>
        <v>119.3</v>
      </c>
      <c r="O68" s="931">
        <f>AC72</f>
        <v>133.30000000000001</v>
      </c>
      <c r="P68" s="931">
        <f>AC73</f>
        <v>142.9</v>
      </c>
      <c r="Q68" s="931">
        <f>AC74</f>
        <v>161</v>
      </c>
      <c r="R68" s="931">
        <f>AC75</f>
        <v>110.7</v>
      </c>
      <c r="S68" s="931">
        <f>AC76</f>
        <v>104.1</v>
      </c>
      <c r="T68" s="931">
        <f>AC77</f>
        <v>104</v>
      </c>
      <c r="U68" s="932">
        <f>AC78</f>
        <v>115.7</v>
      </c>
      <c r="Z68" s="841"/>
      <c r="AA68" s="247"/>
      <c r="AB68" s="247"/>
      <c r="AC68" s="247"/>
      <c r="AD68" s="842"/>
    </row>
    <row r="69" spans="9:30" ht="15.75" thickBot="1">
      <c r="I69" s="1359" t="s">
        <v>488</v>
      </c>
      <c r="J69" s="1360"/>
      <c r="K69" s="846"/>
      <c r="L69" s="933"/>
      <c r="M69" s="934">
        <f>M68/L68-1</f>
        <v>1.8957345971564177E-3</v>
      </c>
      <c r="N69" s="934">
        <f t="shared" ref="N69:R69" si="16">N68/M68-1</f>
        <v>0.12866603595080406</v>
      </c>
      <c r="O69" s="934">
        <f t="shared" si="16"/>
        <v>0.11735121542330273</v>
      </c>
      <c r="P69" s="934">
        <f t="shared" si="16"/>
        <v>7.2018004501125166E-2</v>
      </c>
      <c r="Q69" s="934">
        <f t="shared" si="16"/>
        <v>0.12666200139958006</v>
      </c>
      <c r="R69" s="934">
        <f t="shared" si="16"/>
        <v>-0.31242236024844716</v>
      </c>
      <c r="S69" s="934">
        <f>S68/R68-1</f>
        <v>-5.9620596205962162E-2</v>
      </c>
      <c r="T69" s="934">
        <f t="shared" ref="T69" si="17">T68/S68-1</f>
        <v>-9.6061479346776224E-4</v>
      </c>
      <c r="U69" s="935">
        <f>U68/T68-1</f>
        <v>0.11250000000000004</v>
      </c>
      <c r="W69" s="263">
        <f>RATE(S67-L67,,-L68,S68)</f>
        <v>-1.906605441845033E-3</v>
      </c>
      <c r="Z69" s="841"/>
      <c r="AA69" s="847">
        <v>2003</v>
      </c>
      <c r="AB69" s="247"/>
      <c r="AC69" s="848">
        <v>105.5</v>
      </c>
      <c r="AD69" s="842"/>
    </row>
    <row r="70" spans="9:30" ht="15.75" thickTop="1">
      <c r="Z70" s="841"/>
      <c r="AA70" s="847">
        <v>2004</v>
      </c>
      <c r="AB70" s="247"/>
      <c r="AC70" s="848">
        <v>105.7</v>
      </c>
      <c r="AD70" s="842"/>
    </row>
    <row r="71" spans="9:30" ht="15">
      <c r="Z71" s="841"/>
      <c r="AA71" s="847">
        <f>AA70+1</f>
        <v>2005</v>
      </c>
      <c r="AB71" s="247"/>
      <c r="AC71" s="848">
        <v>119.3</v>
      </c>
      <c r="AD71" s="842"/>
    </row>
    <row r="72" spans="9:30" ht="15.75" thickBot="1">
      <c r="Z72" s="841"/>
      <c r="AA72" s="847">
        <f t="shared" ref="AA72:AA78" si="18">AA71+1</f>
        <v>2006</v>
      </c>
      <c r="AB72" s="247"/>
      <c r="AC72" s="848">
        <v>133.30000000000001</v>
      </c>
      <c r="AD72" s="842"/>
    </row>
    <row r="73" spans="9:30" ht="16.5" customHeight="1" thickTop="1">
      <c r="I73" s="1350" t="s">
        <v>485</v>
      </c>
      <c r="J73" s="1351"/>
      <c r="K73" s="1351"/>
      <c r="L73" s="1354" t="s">
        <v>69</v>
      </c>
      <c r="M73" s="1355"/>
      <c r="N73" s="1355"/>
      <c r="O73" s="1355"/>
      <c r="P73" s="1355"/>
      <c r="Q73" s="1355"/>
      <c r="R73" s="1355"/>
      <c r="S73" s="1355"/>
      <c r="T73" s="1355"/>
      <c r="U73" s="1356"/>
      <c r="Z73" s="841"/>
      <c r="AA73" s="847">
        <f t="shared" si="18"/>
        <v>2007</v>
      </c>
      <c r="AB73" s="247"/>
      <c r="AC73" s="848">
        <v>142.9</v>
      </c>
      <c r="AD73" s="842"/>
    </row>
    <row r="74" spans="9:30" ht="15" customHeight="1">
      <c r="I74" s="1352"/>
      <c r="J74" s="1353"/>
      <c r="K74" s="1353"/>
      <c r="L74" s="939">
        <v>2003</v>
      </c>
      <c r="M74" s="940">
        <v>2004</v>
      </c>
      <c r="N74" s="940">
        <v>2005</v>
      </c>
      <c r="O74" s="940">
        <v>2006</v>
      </c>
      <c r="P74" s="940">
        <v>2007</v>
      </c>
      <c r="Q74" s="940">
        <v>2008</v>
      </c>
      <c r="R74" s="940">
        <v>2009</v>
      </c>
      <c r="S74" s="940">
        <v>2010</v>
      </c>
      <c r="T74" s="940">
        <v>2011</v>
      </c>
      <c r="U74" s="941">
        <v>2012</v>
      </c>
      <c r="Z74" s="841"/>
      <c r="AA74" s="847">
        <f t="shared" si="18"/>
        <v>2008</v>
      </c>
      <c r="AB74" s="247"/>
      <c r="AC74" s="848">
        <v>161</v>
      </c>
      <c r="AD74" s="842"/>
    </row>
    <row r="75" spans="9:30" ht="15" customHeight="1">
      <c r="I75" s="1357" t="s">
        <v>489</v>
      </c>
      <c r="J75" s="1358"/>
      <c r="K75" s="1364"/>
      <c r="L75" s="942">
        <v>9.4588272299579703</v>
      </c>
      <c r="M75" s="943">
        <v>9.6246733816846248</v>
      </c>
      <c r="N75" s="943">
        <v>10.622770135550279</v>
      </c>
      <c r="O75" s="943">
        <v>11.488120983649852</v>
      </c>
      <c r="P75" s="943">
        <v>11.52723730027849</v>
      </c>
      <c r="Q75" s="944">
        <v>13.207478945777604</v>
      </c>
      <c r="R75" s="944">
        <v>11.058146935286631</v>
      </c>
      <c r="S75" s="944">
        <v>10.575270831648373</v>
      </c>
      <c r="T75" s="944">
        <v>9.7898945655695897</v>
      </c>
      <c r="U75" s="945">
        <v>9.0686455705028415</v>
      </c>
      <c r="Z75" s="841"/>
      <c r="AA75" s="847">
        <f t="shared" si="18"/>
        <v>2009</v>
      </c>
      <c r="AB75" s="247"/>
      <c r="AC75" s="848">
        <v>110.7</v>
      </c>
      <c r="AD75" s="842"/>
    </row>
    <row r="76" spans="9:30" ht="15.75" thickBot="1">
      <c r="I76" s="1359" t="s">
        <v>488</v>
      </c>
      <c r="J76" s="1360"/>
      <c r="K76" s="846"/>
      <c r="L76" s="936"/>
      <c r="M76" s="937">
        <f>M75/L75-1</f>
        <v>1.7533479330438251E-2</v>
      </c>
      <c r="N76" s="937">
        <f t="shared" ref="N76:R76" si="19">N75/M75-1</f>
        <v>0.10370188309610517</v>
      </c>
      <c r="O76" s="937">
        <f t="shared" si="19"/>
        <v>8.1461882075710035E-2</v>
      </c>
      <c r="P76" s="937">
        <f t="shared" si="19"/>
        <v>3.4049359929537726E-3</v>
      </c>
      <c r="Q76" s="938">
        <f t="shared" si="19"/>
        <v>0.14576273583424193</v>
      </c>
      <c r="R76" s="938">
        <f t="shared" si="19"/>
        <v>-0.1627359785554009</v>
      </c>
      <c r="S76" s="938">
        <f>S75/R75-1</f>
        <v>-4.3667000127968758E-2</v>
      </c>
      <c r="T76" s="937">
        <f>T75/S75-1</f>
        <v>-7.4265357226446227E-2</v>
      </c>
      <c r="U76" s="946">
        <f t="shared" ref="U76" si="20">U75/T75-1</f>
        <v>-7.3672805180490242E-2</v>
      </c>
      <c r="W76" s="263">
        <f>RATE(S67-L67,,-L75,S75)</f>
        <v>1.6066258009992809E-2</v>
      </c>
      <c r="Z76" s="841"/>
      <c r="AA76" s="847">
        <f t="shared" si="18"/>
        <v>2010</v>
      </c>
      <c r="AB76" s="247"/>
      <c r="AC76" s="848">
        <v>104.1</v>
      </c>
      <c r="AD76" s="842"/>
    </row>
    <row r="77" spans="9:30" ht="15.75" thickTop="1">
      <c r="Z77" s="841"/>
      <c r="AA77" s="847">
        <f t="shared" si="18"/>
        <v>2011</v>
      </c>
      <c r="AB77" s="247"/>
      <c r="AC77" s="848">
        <v>104</v>
      </c>
      <c r="AD77" s="842"/>
    </row>
    <row r="78" spans="9:30" ht="15">
      <c r="Z78" s="841"/>
      <c r="AA78" s="847">
        <f t="shared" si="18"/>
        <v>2012</v>
      </c>
      <c r="AB78" s="247" t="s">
        <v>520</v>
      </c>
      <c r="AC78" s="848">
        <v>115.7</v>
      </c>
      <c r="AD78" s="842"/>
    </row>
    <row r="79" spans="9:30" ht="13.5" thickBot="1">
      <c r="Z79" s="849"/>
      <c r="AA79" s="850"/>
      <c r="AB79" s="850"/>
      <c r="AC79" s="850"/>
      <c r="AD79" s="851"/>
    </row>
    <row r="80" spans="9:30" ht="13.5" thickTop="1"/>
    <row r="82" spans="26:26">
      <c r="Z82" s="238" t="s">
        <v>545</v>
      </c>
    </row>
    <row r="83" spans="26:26">
      <c r="Z83" s="238" t="s">
        <v>546</v>
      </c>
    </row>
    <row r="84" spans="26:26">
      <c r="Z84" s="238" t="s">
        <v>547</v>
      </c>
    </row>
    <row r="85" spans="26:26">
      <c r="Z85" s="238" t="s">
        <v>548</v>
      </c>
    </row>
    <row r="100" spans="9:21" ht="13.5" thickBot="1"/>
    <row r="101" spans="9:21" ht="16.5" thickTop="1">
      <c r="I101" s="1350" t="s">
        <v>485</v>
      </c>
      <c r="J101" s="1351"/>
      <c r="K101" s="1351"/>
      <c r="L101" s="1354" t="s">
        <v>69</v>
      </c>
      <c r="M101" s="1355"/>
      <c r="N101" s="1355"/>
      <c r="O101" s="1355"/>
      <c r="P101" s="1355"/>
      <c r="Q101" s="1355"/>
      <c r="R101" s="1355"/>
      <c r="S101" s="1355"/>
      <c r="T101" s="1355"/>
      <c r="U101" s="1356"/>
    </row>
    <row r="102" spans="9:21">
      <c r="I102" s="1352"/>
      <c r="J102" s="1353"/>
      <c r="K102" s="1353"/>
      <c r="L102" s="939">
        <v>2003</v>
      </c>
      <c r="M102" s="940">
        <v>2004</v>
      </c>
      <c r="N102" s="940">
        <v>2005</v>
      </c>
      <c r="O102" s="940">
        <v>2006</v>
      </c>
      <c r="P102" s="940">
        <v>2007</v>
      </c>
      <c r="Q102" s="940">
        <v>2008</v>
      </c>
      <c r="R102" s="940">
        <v>2009</v>
      </c>
      <c r="S102" s="940">
        <v>2010</v>
      </c>
      <c r="T102" s="940">
        <v>2011</v>
      </c>
      <c r="U102" s="941">
        <v>2012</v>
      </c>
    </row>
    <row r="103" spans="9:21">
      <c r="I103" s="1357" t="s">
        <v>552</v>
      </c>
      <c r="J103" s="1358"/>
      <c r="K103" s="1358"/>
      <c r="L103" s="942">
        <f>D42*($F$50/F42)</f>
        <v>15.614571935168714</v>
      </c>
      <c r="M103" s="943">
        <f>D43*($F$50/F43)</f>
        <v>15.888349709447635</v>
      </c>
      <c r="N103" s="943">
        <f>D44*($F$50/F44)</f>
        <v>17.536001493606811</v>
      </c>
      <c r="O103" s="943">
        <f>D45*($F$50/F45)</f>
        <v>18.964517179358481</v>
      </c>
      <c r="P103" s="943">
        <f>D46*($F$50/F46)</f>
        <v>19.029090146491477</v>
      </c>
      <c r="Q103" s="943">
        <f>D47*($F$50/F47)</f>
        <v>21.802822386680486</v>
      </c>
      <c r="R103" s="943">
        <f>D48*($F$50/F48)</f>
        <v>18.254718750314439</v>
      </c>
      <c r="S103" s="943">
        <f>D49*($F$50/F49)</f>
        <v>17.457589944308424</v>
      </c>
      <c r="T103" s="943">
        <f>D50*($F$50/F50)</f>
        <v>16.161095790781541</v>
      </c>
      <c r="U103" s="945">
        <f>D51*($F$50/F51)</f>
        <v>14.970462529084054</v>
      </c>
    </row>
    <row r="104" spans="9:21" ht="13.5" thickBot="1">
      <c r="I104" s="1359" t="s">
        <v>488</v>
      </c>
      <c r="J104" s="1360"/>
      <c r="K104" s="846"/>
      <c r="L104" s="936"/>
      <c r="M104" s="937">
        <f>M103/L103-1</f>
        <v>1.7533479330438251E-2</v>
      </c>
      <c r="N104" s="937">
        <f t="shared" ref="N104" si="21">N103/M103-1</f>
        <v>0.10370188309610517</v>
      </c>
      <c r="O104" s="937">
        <f t="shared" ref="O104" si="22">O103/N103-1</f>
        <v>8.1461882075709813E-2</v>
      </c>
      <c r="P104" s="937">
        <f t="shared" ref="P104" si="23">P103/O103-1</f>
        <v>3.4049359929542167E-3</v>
      </c>
      <c r="Q104" s="938">
        <f t="shared" ref="Q104" si="24">Q103/P103-1</f>
        <v>0.14576273583424171</v>
      </c>
      <c r="R104" s="938">
        <f t="shared" ref="R104" si="25">R103/Q103-1</f>
        <v>-0.16273597855540078</v>
      </c>
      <c r="S104" s="938">
        <f>S103/R103-1</f>
        <v>-4.3667000127968758E-2</v>
      </c>
      <c r="T104" s="937">
        <f>T103/S103-1</f>
        <v>-7.4265357226446338E-2</v>
      </c>
      <c r="U104" s="946">
        <f t="shared" ref="U104" si="26">U103/T103-1</f>
        <v>-7.3672805180490131E-2</v>
      </c>
    </row>
    <row r="105" spans="9:21" ht="13.5" thickTop="1"/>
  </sheetData>
  <mergeCells count="12">
    <mergeCell ref="I101:K102"/>
    <mergeCell ref="L101:U101"/>
    <mergeCell ref="I103:K103"/>
    <mergeCell ref="I104:J104"/>
    <mergeCell ref="L66:U66"/>
    <mergeCell ref="L73:U73"/>
    <mergeCell ref="I75:K75"/>
    <mergeCell ref="I76:J76"/>
    <mergeCell ref="I66:K67"/>
    <mergeCell ref="I68:K68"/>
    <mergeCell ref="I69:J69"/>
    <mergeCell ref="I73:K74"/>
  </mergeCells>
  <printOptions horizontalCentered="1" verticalCentered="1"/>
  <pageMargins left="0.75" right="0.75" top="0.93" bottom="0.82" header="0" footer="0.42"/>
  <pageSetup scale="59" orientation="landscape" r:id="rId1"/>
  <headerFooter alignWithMargins="0">
    <oddFooter>&amp;LARCHIVO:  &amp;F
HOJA: &amp;A&amp;R&amp;D</oddFooter>
  </headerFooter>
  <drawing r:id="rId2"/>
  <legacyDrawing r:id="rId3"/>
</worksheet>
</file>

<file path=xl/worksheets/sheet19.xml><?xml version="1.0" encoding="utf-8"?>
<worksheet xmlns="http://schemas.openxmlformats.org/spreadsheetml/2006/main" xmlns:r="http://schemas.openxmlformats.org/officeDocument/2006/relationships">
  <dimension ref="A1:AH52"/>
  <sheetViews>
    <sheetView tabSelected="1" topLeftCell="C50" workbookViewId="0">
      <selection activeCell="W24" sqref="W24"/>
    </sheetView>
  </sheetViews>
  <sheetFormatPr baseColWidth="10" defaultRowHeight="12.75"/>
  <cols>
    <col min="1" max="2" width="11.42578125" style="238"/>
    <col min="3" max="5" width="16.5703125" style="238" customWidth="1"/>
    <col min="6" max="10" width="15.7109375" style="238" customWidth="1"/>
    <col min="11" max="11" width="15.7109375" style="238" hidden="1" customWidth="1"/>
    <col min="12" max="12" width="14.42578125" style="238" customWidth="1"/>
    <col min="13" max="13" width="11.42578125" style="238" customWidth="1"/>
    <col min="14" max="16384" width="11.42578125" style="238"/>
  </cols>
  <sheetData>
    <row r="1" spans="1:34" ht="15.75">
      <c r="B1" s="1375" t="s">
        <v>504</v>
      </c>
      <c r="C1" s="1375"/>
      <c r="D1" s="1375"/>
      <c r="E1" s="1375"/>
      <c r="F1" s="1375"/>
      <c r="G1" s="1375"/>
      <c r="H1" s="1375"/>
      <c r="I1" s="1375"/>
      <c r="J1" s="1375"/>
      <c r="K1" s="1375"/>
      <c r="L1" s="1375"/>
    </row>
    <row r="2" spans="1:34" ht="15.75" customHeight="1">
      <c r="B2" s="856"/>
      <c r="C2" s="1376" t="s">
        <v>505</v>
      </c>
      <c r="D2" s="1376"/>
      <c r="E2" s="949"/>
      <c r="F2" s="1376" t="s">
        <v>673</v>
      </c>
      <c r="G2" s="1376"/>
      <c r="H2" s="1377"/>
      <c r="I2" s="1378" t="s">
        <v>506</v>
      </c>
      <c r="J2" s="1379"/>
      <c r="K2" s="950"/>
      <c r="L2" s="1365" t="s">
        <v>507</v>
      </c>
      <c r="N2" s="1365" t="s">
        <v>550</v>
      </c>
    </row>
    <row r="3" spans="1:34" ht="18.75" customHeight="1">
      <c r="C3" s="1380" t="s">
        <v>508</v>
      </c>
      <c r="D3" s="1380"/>
      <c r="E3" s="951"/>
      <c r="F3" s="1380" t="s">
        <v>509</v>
      </c>
      <c r="G3" s="1380"/>
      <c r="H3" s="1381"/>
      <c r="I3" s="1378"/>
      <c r="J3" s="1379"/>
      <c r="K3" s="950"/>
      <c r="L3" s="1366"/>
      <c r="N3" s="1366"/>
    </row>
    <row r="4" spans="1:34" ht="12.75" customHeight="1">
      <c r="C4" s="1373" t="s">
        <v>510</v>
      </c>
      <c r="D4" s="1373" t="s">
        <v>511</v>
      </c>
      <c r="E4" s="1373" t="s">
        <v>549</v>
      </c>
      <c r="F4" s="1373" t="s">
        <v>512</v>
      </c>
      <c r="G4" s="1373" t="s">
        <v>513</v>
      </c>
      <c r="H4" s="1373" t="s">
        <v>511</v>
      </c>
      <c r="I4" s="1369" t="s">
        <v>514</v>
      </c>
      <c r="J4" s="1369" t="s">
        <v>515</v>
      </c>
      <c r="K4" s="952"/>
      <c r="L4" s="1371" t="s">
        <v>516</v>
      </c>
      <c r="M4" s="857"/>
      <c r="N4" s="1367" t="s">
        <v>551</v>
      </c>
      <c r="O4" s="857"/>
      <c r="P4" s="857"/>
      <c r="Q4" s="857"/>
      <c r="R4" s="857"/>
      <c r="S4" s="857"/>
      <c r="T4" s="857"/>
      <c r="U4" s="857"/>
      <c r="V4" s="857"/>
      <c r="W4" s="857"/>
      <c r="X4" s="857"/>
      <c r="Y4" s="857"/>
      <c r="Z4" s="857"/>
      <c r="AA4" s="857"/>
      <c r="AB4" s="857"/>
      <c r="AC4" s="857"/>
      <c r="AD4" s="857"/>
      <c r="AE4" s="857"/>
      <c r="AF4" s="857"/>
      <c r="AG4" s="857"/>
      <c r="AH4" s="857"/>
    </row>
    <row r="5" spans="1:34">
      <c r="C5" s="1374"/>
      <c r="D5" s="1374"/>
      <c r="E5" s="1374"/>
      <c r="F5" s="1374"/>
      <c r="G5" s="1374"/>
      <c r="H5" s="1374"/>
      <c r="I5" s="1370"/>
      <c r="J5" s="1370"/>
      <c r="K5" s="953"/>
      <c r="L5" s="1372"/>
      <c r="M5" s="247"/>
      <c r="N5" s="1368"/>
      <c r="O5" s="247"/>
      <c r="P5" s="247"/>
      <c r="Q5" s="247"/>
      <c r="R5" s="247"/>
      <c r="S5" s="247"/>
      <c r="T5" s="247"/>
      <c r="U5" s="247"/>
      <c r="V5" s="247"/>
      <c r="W5" s="247"/>
      <c r="X5" s="247"/>
      <c r="Y5" s="247"/>
      <c r="Z5" s="247"/>
      <c r="AA5" s="247"/>
      <c r="AB5" s="247"/>
      <c r="AC5" s="247"/>
      <c r="AD5" s="247"/>
      <c r="AE5" s="247"/>
      <c r="AF5" s="247"/>
      <c r="AG5" s="247"/>
      <c r="AH5" s="247"/>
    </row>
    <row r="6" spans="1:34">
      <c r="C6" s="858"/>
      <c r="D6" s="858"/>
      <c r="E6" s="858"/>
    </row>
    <row r="7" spans="1:34">
      <c r="A7" s="238">
        <v>1</v>
      </c>
      <c r="B7" s="859">
        <v>1970</v>
      </c>
      <c r="C7" s="264">
        <v>6.5575389345533859</v>
      </c>
      <c r="D7" s="264"/>
      <c r="E7" s="265">
        <v>1.7</v>
      </c>
      <c r="F7" s="265">
        <v>7</v>
      </c>
      <c r="G7" s="265">
        <v>3.8738495702594902</v>
      </c>
      <c r="H7" s="265"/>
      <c r="I7" s="265"/>
      <c r="J7" s="265"/>
      <c r="K7" s="954">
        <v>0.38799999999999996</v>
      </c>
      <c r="L7" s="265">
        <f>K7*100</f>
        <v>38.799999999999997</v>
      </c>
      <c r="M7" s="956">
        <v>0.24338000000000001</v>
      </c>
      <c r="N7" s="264">
        <f>M7*100</f>
        <v>24.338000000000001</v>
      </c>
      <c r="O7" s="238">
        <f>(E7*($N$42))/N7</f>
        <v>6.9849617881502173</v>
      </c>
    </row>
    <row r="8" spans="1:34">
      <c r="A8" s="238">
        <f>A7+1</f>
        <v>2</v>
      </c>
      <c r="B8" s="859">
        <f>B7+1</f>
        <v>1971</v>
      </c>
      <c r="C8" s="264">
        <v>6.915560460917396</v>
      </c>
      <c r="D8" s="860">
        <f>(C8/C7)-1</f>
        <v>5.4596934907622297E-2</v>
      </c>
      <c r="E8" s="265">
        <v>1.8</v>
      </c>
      <c r="F8" s="265">
        <v>7</v>
      </c>
      <c r="G8" s="265">
        <v>3.9063799788508984</v>
      </c>
      <c r="H8" s="860">
        <f>(G8/G7)-1</f>
        <v>8.397437226564497E-3</v>
      </c>
      <c r="I8" s="860">
        <f>D8-H8</f>
        <v>4.61994976810578E-2</v>
      </c>
      <c r="J8" s="860"/>
      <c r="K8" s="954">
        <v>0.40500000000000003</v>
      </c>
      <c r="L8" s="265">
        <f t="shared" ref="L8:L50" si="0">K8*100</f>
        <v>40.5</v>
      </c>
      <c r="M8" s="956">
        <v>0.25553999999999999</v>
      </c>
      <c r="N8" s="264">
        <f t="shared" ref="N8:N50" si="1">M8*100</f>
        <v>25.553999999999998</v>
      </c>
      <c r="O8" s="238">
        <f>(E8*($N$42))/N8</f>
        <v>7.0439070204273309</v>
      </c>
    </row>
    <row r="9" spans="1:34">
      <c r="A9" s="238">
        <f t="shared" ref="A9:A49" si="2">A8+1</f>
        <v>3</v>
      </c>
      <c r="B9" s="859">
        <f t="shared" ref="B9:B49" si="3">B8+1</f>
        <v>1972</v>
      </c>
      <c r="C9" s="264">
        <v>6.7963367952326887</v>
      </c>
      <c r="D9" s="860">
        <f t="shared" ref="D9:D48" si="4">(C9/C8)-1</f>
        <v>-1.7239913721886713E-2</v>
      </c>
      <c r="E9" s="265">
        <v>1.9</v>
      </c>
      <c r="F9" s="265">
        <v>7.1</v>
      </c>
      <c r="G9" s="265">
        <v>3.9529473605166321</v>
      </c>
      <c r="H9" s="860">
        <f t="shared" ref="H9:H45" si="5">(G9/G8)-1</f>
        <v>1.1920853044979918E-2</v>
      </c>
      <c r="I9" s="860">
        <f t="shared" ref="I9:I48" si="6">D9-H9</f>
        <v>-2.916076676686663E-2</v>
      </c>
      <c r="J9" s="860"/>
      <c r="K9" s="954">
        <v>0.41799999999999998</v>
      </c>
      <c r="L9" s="265">
        <f t="shared" si="0"/>
        <v>41.8</v>
      </c>
      <c r="M9" s="956">
        <v>0.26656999999999997</v>
      </c>
      <c r="N9" s="264">
        <f t="shared" si="1"/>
        <v>26.656999999999996</v>
      </c>
    </row>
    <row r="10" spans="1:34">
      <c r="A10" s="238">
        <f t="shared" si="2"/>
        <v>4</v>
      </c>
      <c r="B10" s="859">
        <f t="shared" si="3"/>
        <v>1973</v>
      </c>
      <c r="C10" s="264">
        <v>6.2572290671360324</v>
      </c>
      <c r="D10" s="860">
        <f t="shared" si="4"/>
        <v>-7.9323280222783454E-2</v>
      </c>
      <c r="E10" s="265">
        <v>2</v>
      </c>
      <c r="F10" s="265">
        <v>7.1</v>
      </c>
      <c r="G10" s="265">
        <v>3.9422310756972108</v>
      </c>
      <c r="H10" s="860">
        <f t="shared" si="5"/>
        <v>-2.7109606686036569E-3</v>
      </c>
      <c r="I10" s="860">
        <f t="shared" si="6"/>
        <v>-7.6612319554179797E-2</v>
      </c>
      <c r="J10" s="860"/>
      <c r="K10" s="954">
        <v>0.44400000000000001</v>
      </c>
      <c r="L10" s="265">
        <f t="shared" si="0"/>
        <v>44.4</v>
      </c>
      <c r="M10" s="956">
        <v>0.28136</v>
      </c>
      <c r="N10" s="264">
        <f t="shared" si="1"/>
        <v>28.135999999999999</v>
      </c>
    </row>
    <row r="11" spans="1:34">
      <c r="A11" s="238">
        <f t="shared" si="2"/>
        <v>5</v>
      </c>
      <c r="B11" s="859">
        <f t="shared" si="3"/>
        <v>1974</v>
      </c>
      <c r="C11" s="264">
        <v>7.7223273860373398</v>
      </c>
      <c r="D11" s="860">
        <f t="shared" si="4"/>
        <v>0.23414490714368097</v>
      </c>
      <c r="E11" s="265">
        <v>2.5</v>
      </c>
      <c r="F11" s="265">
        <v>8.1999999999999993</v>
      </c>
      <c r="G11" s="265">
        <v>4.5176754500391327</v>
      </c>
      <c r="H11" s="860">
        <f t="shared" si="5"/>
        <v>0.14596921471432278</v>
      </c>
      <c r="I11" s="860">
        <f t="shared" si="6"/>
        <v>8.8175692429358188E-2</v>
      </c>
      <c r="J11" s="860"/>
      <c r="K11" s="954">
        <v>0.49299999999999999</v>
      </c>
      <c r="L11" s="265">
        <f t="shared" si="0"/>
        <v>49.3</v>
      </c>
      <c r="M11" s="956">
        <v>0.30690000000000001</v>
      </c>
      <c r="N11" s="264">
        <f t="shared" si="1"/>
        <v>30.69</v>
      </c>
    </row>
    <row r="12" spans="1:34">
      <c r="A12" s="238">
        <f t="shared" si="2"/>
        <v>6</v>
      </c>
      <c r="B12" s="859">
        <f t="shared" si="3"/>
        <v>1975</v>
      </c>
      <c r="C12" s="264">
        <v>8.5331412103746409</v>
      </c>
      <c r="D12" s="860">
        <f t="shared" si="4"/>
        <v>0.10499604378381133</v>
      </c>
      <c r="E12" s="265">
        <v>2.9</v>
      </c>
      <c r="F12" s="265">
        <v>8.6</v>
      </c>
      <c r="G12" s="265">
        <v>4.7878556744033611</v>
      </c>
      <c r="H12" s="860">
        <f t="shared" si="5"/>
        <v>5.9805142567708858E-2</v>
      </c>
      <c r="I12" s="860">
        <f t="shared" si="6"/>
        <v>4.5190901216102475E-2</v>
      </c>
      <c r="J12" s="860"/>
      <c r="K12" s="954">
        <v>0.53825000000000001</v>
      </c>
      <c r="L12" s="265">
        <f t="shared" si="0"/>
        <v>53.825000000000003</v>
      </c>
      <c r="M12" s="956">
        <v>0.33590999999999999</v>
      </c>
      <c r="N12" s="264">
        <f t="shared" si="1"/>
        <v>33.591000000000001</v>
      </c>
    </row>
    <row r="13" spans="1:34">
      <c r="A13" s="238">
        <f t="shared" si="2"/>
        <v>7</v>
      </c>
      <c r="B13" s="859">
        <f t="shared" si="3"/>
        <v>1976</v>
      </c>
      <c r="C13" s="264">
        <v>8.3464835837769105</v>
      </c>
      <c r="D13" s="860">
        <f t="shared" si="4"/>
        <v>-2.1874433106859992E-2</v>
      </c>
      <c r="E13" s="265">
        <v>3.1</v>
      </c>
      <c r="F13" s="265">
        <v>8.6999999999999993</v>
      </c>
      <c r="G13" s="265">
        <v>4.8402941756600635</v>
      </c>
      <c r="H13" s="860">
        <f t="shared" si="5"/>
        <v>1.0952398071864877E-2</v>
      </c>
      <c r="I13" s="860">
        <f t="shared" si="6"/>
        <v>-3.2826831178724869E-2</v>
      </c>
      <c r="J13" s="860"/>
      <c r="K13" s="954">
        <v>0.56933333333333358</v>
      </c>
      <c r="L13" s="265">
        <f t="shared" si="0"/>
        <v>56.933333333333358</v>
      </c>
      <c r="M13" s="956">
        <v>0.35519000000000001</v>
      </c>
      <c r="N13" s="264">
        <f t="shared" si="1"/>
        <v>35.518999999999998</v>
      </c>
    </row>
    <row r="14" spans="1:34">
      <c r="A14" s="238">
        <f t="shared" si="2"/>
        <v>8</v>
      </c>
      <c r="B14" s="859">
        <f t="shared" si="3"/>
        <v>1977</v>
      </c>
      <c r="C14" s="264">
        <v>9.5978621181222703</v>
      </c>
      <c r="D14" s="860">
        <f t="shared" si="4"/>
        <v>0.14992883191882966</v>
      </c>
      <c r="E14" s="265">
        <v>3.4</v>
      </c>
      <c r="F14" s="265">
        <v>9</v>
      </c>
      <c r="G14" s="265">
        <v>4.9906174670869632</v>
      </c>
      <c r="H14" s="860">
        <f t="shared" si="5"/>
        <v>3.1056643660795746E-2</v>
      </c>
      <c r="I14" s="860">
        <f t="shared" si="6"/>
        <v>0.11887218825803392</v>
      </c>
      <c r="J14" s="860"/>
      <c r="K14" s="954">
        <v>0.60616666666666674</v>
      </c>
      <c r="L14" s="265">
        <f t="shared" si="0"/>
        <v>60.616666666666674</v>
      </c>
      <c r="M14" s="956">
        <v>0.37783</v>
      </c>
      <c r="N14" s="264">
        <f t="shared" si="1"/>
        <v>37.783000000000001</v>
      </c>
    </row>
    <row r="15" spans="1:34">
      <c r="A15" s="238">
        <f t="shared" si="2"/>
        <v>9</v>
      </c>
      <c r="B15" s="859">
        <f t="shared" si="3"/>
        <v>1978</v>
      </c>
      <c r="C15" s="264">
        <v>10.091717593305599</v>
      </c>
      <c r="D15" s="860">
        <f t="shared" si="4"/>
        <v>5.1454737430625563E-2</v>
      </c>
      <c r="E15" s="265">
        <v>3.7</v>
      </c>
      <c r="F15" s="265">
        <v>9.1999999999999993</v>
      </c>
      <c r="G15" s="265">
        <v>5.0748613861386129</v>
      </c>
      <c r="H15" s="860">
        <f t="shared" si="5"/>
        <v>1.6880460104834016E-2</v>
      </c>
      <c r="I15" s="860">
        <f t="shared" si="6"/>
        <v>3.4574277325791547E-2</v>
      </c>
      <c r="J15" s="860"/>
      <c r="K15" s="954">
        <v>0.6524166666666672</v>
      </c>
      <c r="L15" s="265">
        <f t="shared" si="0"/>
        <v>65.241666666666717</v>
      </c>
      <c r="M15" s="956">
        <v>0.40434999999999999</v>
      </c>
      <c r="N15" s="264">
        <f t="shared" si="1"/>
        <v>40.435000000000002</v>
      </c>
    </row>
    <row r="16" spans="1:34">
      <c r="A16" s="238">
        <f t="shared" si="2"/>
        <v>10</v>
      </c>
      <c r="B16" s="859">
        <f t="shared" si="3"/>
        <v>1979</v>
      </c>
      <c r="C16" s="264">
        <v>9.6064687097002643</v>
      </c>
      <c r="D16" s="860">
        <f t="shared" si="4"/>
        <v>-4.8083874634703205E-2</v>
      </c>
      <c r="E16" s="265">
        <v>4</v>
      </c>
      <c r="F16" s="265">
        <v>9.1</v>
      </c>
      <c r="G16" s="265">
        <v>5.0649665227028624</v>
      </c>
      <c r="H16" s="860">
        <f t="shared" si="5"/>
        <v>-1.9497800398602383E-3</v>
      </c>
      <c r="I16" s="860">
        <f t="shared" si="6"/>
        <v>-4.6134094594842967E-2</v>
      </c>
      <c r="J16" s="860"/>
      <c r="K16" s="954">
        <v>0.72583333333333344</v>
      </c>
      <c r="L16" s="265">
        <f t="shared" si="0"/>
        <v>72.583333333333343</v>
      </c>
      <c r="M16" s="956">
        <v>0.43797999999999998</v>
      </c>
      <c r="N16" s="264">
        <f t="shared" si="1"/>
        <v>43.797999999999995</v>
      </c>
    </row>
    <row r="17" spans="1:14">
      <c r="A17" s="238">
        <f t="shared" si="2"/>
        <v>11</v>
      </c>
      <c r="B17" s="859">
        <f t="shared" si="3"/>
        <v>1980</v>
      </c>
      <c r="C17" s="264">
        <v>10.918351537031539</v>
      </c>
      <c r="D17" s="860">
        <f t="shared" si="4"/>
        <v>0.13656244213928304</v>
      </c>
      <c r="E17" s="265">
        <v>4.7</v>
      </c>
      <c r="F17" s="265">
        <v>9.8000000000000007</v>
      </c>
      <c r="G17" s="265">
        <v>5.4540512240581345</v>
      </c>
      <c r="H17" s="860">
        <f t="shared" si="5"/>
        <v>7.6818810077275979E-2</v>
      </c>
      <c r="I17" s="860">
        <f t="shared" si="6"/>
        <v>5.9743632062007057E-2</v>
      </c>
      <c r="J17" s="860"/>
      <c r="K17" s="954">
        <v>0.82383333333333331</v>
      </c>
      <c r="L17" s="265">
        <f t="shared" si="0"/>
        <v>82.383333333333326</v>
      </c>
      <c r="M17" s="956">
        <v>0.47791</v>
      </c>
      <c r="N17" s="264">
        <f t="shared" si="1"/>
        <v>47.790999999999997</v>
      </c>
    </row>
    <row r="18" spans="1:14">
      <c r="A18" s="238">
        <f t="shared" si="2"/>
        <v>12</v>
      </c>
      <c r="B18" s="859">
        <f t="shared" si="3"/>
        <v>1981</v>
      </c>
      <c r="C18" s="264">
        <v>11.025703953952993</v>
      </c>
      <c r="D18" s="860">
        <f t="shared" si="4"/>
        <v>9.8322916749244982E-3</v>
      </c>
      <c r="E18" s="265">
        <v>5.5</v>
      </c>
      <c r="F18" s="265">
        <v>10.5</v>
      </c>
      <c r="G18" s="265">
        <v>5.8356342747726178</v>
      </c>
      <c r="H18" s="860">
        <f t="shared" si="5"/>
        <v>6.9963231924060176E-2</v>
      </c>
      <c r="I18" s="860">
        <f t="shared" si="6"/>
        <v>-6.0130940249135678E-2</v>
      </c>
      <c r="J18" s="860"/>
      <c r="K18" s="954">
        <v>0.90933333333333355</v>
      </c>
      <c r="L18" s="265">
        <f t="shared" si="0"/>
        <v>90.933333333333351</v>
      </c>
      <c r="M18" s="956">
        <v>0.52270000000000005</v>
      </c>
      <c r="N18" s="264">
        <f t="shared" si="1"/>
        <v>52.27</v>
      </c>
    </row>
    <row r="19" spans="1:14">
      <c r="A19" s="238">
        <f t="shared" si="2"/>
        <v>13</v>
      </c>
      <c r="B19" s="859">
        <f t="shared" si="3"/>
        <v>1982</v>
      </c>
      <c r="C19" s="264">
        <v>11.446142823023646</v>
      </c>
      <c r="D19" s="860">
        <f t="shared" si="4"/>
        <v>3.8132610019872226E-2</v>
      </c>
      <c r="E19" s="265">
        <v>6.1</v>
      </c>
      <c r="F19" s="265">
        <v>11</v>
      </c>
      <c r="G19" s="265">
        <v>6.1</v>
      </c>
      <c r="H19" s="860">
        <f t="shared" si="5"/>
        <v>4.5301969379786478E-2</v>
      </c>
      <c r="I19" s="860">
        <f t="shared" si="6"/>
        <v>-7.1693593599142513E-3</v>
      </c>
      <c r="J19" s="860"/>
      <c r="K19" s="954">
        <v>0.96533333333333349</v>
      </c>
      <c r="L19" s="265">
        <f t="shared" si="0"/>
        <v>96.533333333333346</v>
      </c>
      <c r="M19" s="956">
        <v>0.55459000000000003</v>
      </c>
      <c r="N19" s="264">
        <f t="shared" si="1"/>
        <v>55.459000000000003</v>
      </c>
    </row>
    <row r="20" spans="1:14">
      <c r="A20" s="238">
        <f t="shared" si="2"/>
        <v>14</v>
      </c>
      <c r="B20" s="859">
        <f t="shared" si="3"/>
        <v>1983</v>
      </c>
      <c r="C20" s="264">
        <v>12.174077502478633</v>
      </c>
      <c r="D20" s="860">
        <f t="shared" si="4"/>
        <v>6.359650501571279E-2</v>
      </c>
      <c r="E20" s="265">
        <v>6.3</v>
      </c>
      <c r="F20" s="265">
        <v>10.9</v>
      </c>
      <c r="G20" s="265">
        <v>6.0603718556325177</v>
      </c>
      <c r="H20" s="860">
        <f t="shared" si="5"/>
        <v>-6.4964171094232803E-3</v>
      </c>
      <c r="I20" s="860">
        <f t="shared" si="6"/>
        <v>7.009292212513607E-2</v>
      </c>
      <c r="J20" s="860"/>
      <c r="K20" s="954">
        <v>0.99583333333333313</v>
      </c>
      <c r="L20" s="265">
        <f t="shared" si="0"/>
        <v>99.583333333333314</v>
      </c>
      <c r="M20" s="956">
        <v>0.57652000000000003</v>
      </c>
      <c r="N20" s="264">
        <f t="shared" si="1"/>
        <v>57.652000000000001</v>
      </c>
    </row>
    <row r="21" spans="1:14">
      <c r="A21" s="238">
        <f t="shared" si="2"/>
        <v>15</v>
      </c>
      <c r="B21" s="859">
        <f t="shared" si="3"/>
        <v>1984</v>
      </c>
      <c r="C21" s="264">
        <v>12.099878742215367</v>
      </c>
      <c r="D21" s="860">
        <f t="shared" si="4"/>
        <v>-6.0948158288099963E-3</v>
      </c>
      <c r="E21" s="265">
        <v>6.25</v>
      </c>
      <c r="F21" s="265">
        <v>10.45</v>
      </c>
      <c r="G21" s="265">
        <v>5.7946825954556109</v>
      </c>
      <c r="H21" s="860">
        <f t="shared" si="5"/>
        <v>-4.3840422090597464E-2</v>
      </c>
      <c r="I21" s="860">
        <f t="shared" si="6"/>
        <v>3.7745606261787468E-2</v>
      </c>
      <c r="J21" s="860"/>
      <c r="K21" s="954">
        <v>1.0393333333333332</v>
      </c>
      <c r="L21" s="265">
        <f t="shared" si="0"/>
        <v>103.93333333333332</v>
      </c>
      <c r="M21" s="956">
        <v>0.59816999999999998</v>
      </c>
      <c r="N21" s="264">
        <f t="shared" si="1"/>
        <v>59.817</v>
      </c>
    </row>
    <row r="22" spans="1:14">
      <c r="A22" s="238">
        <f t="shared" si="2"/>
        <v>16</v>
      </c>
      <c r="B22" s="859">
        <f t="shared" si="3"/>
        <v>1985</v>
      </c>
      <c r="C22" s="264">
        <v>11.531669392621657</v>
      </c>
      <c r="D22" s="860">
        <f t="shared" si="4"/>
        <v>-4.6959920979313563E-2</v>
      </c>
      <c r="E22" s="265">
        <v>6.44</v>
      </c>
      <c r="F22" s="265">
        <v>10.45</v>
      </c>
      <c r="G22" s="265">
        <v>5.7953306483045344</v>
      </c>
      <c r="H22" s="860">
        <f t="shared" si="5"/>
        <v>1.1183578017393003E-4</v>
      </c>
      <c r="I22" s="860">
        <f t="shared" si="6"/>
        <v>-4.7071756759487493E-2</v>
      </c>
      <c r="J22" s="860"/>
      <c r="K22" s="954">
        <v>1.0759999999999998</v>
      </c>
      <c r="L22" s="265">
        <f t="shared" si="0"/>
        <v>107.59999999999998</v>
      </c>
      <c r="M22" s="956">
        <v>0.61628000000000005</v>
      </c>
      <c r="N22" s="264">
        <f t="shared" si="1"/>
        <v>61.628000000000007</v>
      </c>
    </row>
    <row r="23" spans="1:14">
      <c r="A23" s="238">
        <f t="shared" si="2"/>
        <v>17</v>
      </c>
      <c r="B23" s="859">
        <f t="shared" si="3"/>
        <v>1986</v>
      </c>
      <c r="C23" s="264">
        <v>11.283893311773101</v>
      </c>
      <c r="D23" s="860">
        <f t="shared" si="4"/>
        <v>-2.1486575136041575E-2</v>
      </c>
      <c r="E23" s="265">
        <v>6.44</v>
      </c>
      <c r="F23" s="265">
        <v>10.220000000000001</v>
      </c>
      <c r="G23" s="265">
        <v>5.6700077855633415</v>
      </c>
      <c r="H23" s="860">
        <f t="shared" si="5"/>
        <v>-2.1624799402577111E-2</v>
      </c>
      <c r="I23" s="860">
        <f t="shared" si="6"/>
        <v>1.3822426653553599E-4</v>
      </c>
      <c r="J23" s="860"/>
      <c r="K23" s="954">
        <v>1.0969166666666665</v>
      </c>
      <c r="L23" s="265">
        <f t="shared" si="0"/>
        <v>109.69166666666665</v>
      </c>
      <c r="M23" s="956">
        <v>0.62990999999999997</v>
      </c>
      <c r="N23" s="264">
        <f t="shared" si="1"/>
        <v>62.991</v>
      </c>
    </row>
    <row r="24" spans="1:14">
      <c r="A24" s="238">
        <f t="shared" si="2"/>
        <v>18</v>
      </c>
      <c r="B24" s="859">
        <f t="shared" si="3"/>
        <v>1987</v>
      </c>
      <c r="C24" s="264">
        <v>11.006526402263702</v>
      </c>
      <c r="D24" s="860">
        <f t="shared" si="4"/>
        <v>-2.4580780927803247E-2</v>
      </c>
      <c r="E24" s="265">
        <v>6.37</v>
      </c>
      <c r="F24" s="265">
        <v>9.83</v>
      </c>
      <c r="G24" s="265">
        <v>5.4501642888024202</v>
      </c>
      <c r="H24" s="860">
        <f t="shared" si="5"/>
        <v>-3.877305024530564E-2</v>
      </c>
      <c r="I24" s="860">
        <f t="shared" si="6"/>
        <v>1.4192269317502393E-2</v>
      </c>
      <c r="J24" s="860"/>
      <c r="K24" s="954">
        <v>1.1361666666666672</v>
      </c>
      <c r="L24" s="265">
        <f t="shared" si="0"/>
        <v>113.61666666666672</v>
      </c>
      <c r="M24" s="956">
        <v>0.64819000000000004</v>
      </c>
      <c r="N24" s="264">
        <f t="shared" si="1"/>
        <v>64.819000000000003</v>
      </c>
    </row>
    <row r="25" spans="1:14">
      <c r="A25" s="238">
        <f t="shared" si="2"/>
        <v>19</v>
      </c>
      <c r="B25" s="859">
        <f t="shared" si="3"/>
        <v>1988</v>
      </c>
      <c r="C25" s="264">
        <v>10.860992406008346</v>
      </c>
      <c r="D25" s="860">
        <f t="shared" si="4"/>
        <v>-1.3222518252936188E-2</v>
      </c>
      <c r="E25" s="265">
        <v>6.35</v>
      </c>
      <c r="F25" s="265">
        <v>9.4700000000000006</v>
      </c>
      <c r="G25" s="265">
        <v>5.2526751059891312</v>
      </c>
      <c r="H25" s="860">
        <f t="shared" si="5"/>
        <v>-3.6235454997024297E-2</v>
      </c>
      <c r="I25" s="860">
        <f t="shared" si="6"/>
        <v>2.3012936744088108E-2</v>
      </c>
      <c r="J25" s="860"/>
      <c r="K25" s="954">
        <v>1.1827500000000002</v>
      </c>
      <c r="L25" s="265">
        <f t="shared" si="0"/>
        <v>118.27500000000002</v>
      </c>
      <c r="M25" s="956">
        <v>0.67045999999999994</v>
      </c>
      <c r="N25" s="264">
        <f t="shared" si="1"/>
        <v>67.045999999999992</v>
      </c>
    </row>
    <row r="26" spans="1:14">
      <c r="A26" s="238">
        <f t="shared" si="2"/>
        <v>20</v>
      </c>
      <c r="B26" s="859">
        <f t="shared" si="3"/>
        <v>1989</v>
      </c>
      <c r="C26" s="264">
        <v>10.977240008226504</v>
      </c>
      <c r="D26" s="860">
        <f t="shared" si="4"/>
        <v>1.0703221020009979E-2</v>
      </c>
      <c r="E26" s="265">
        <v>6.45</v>
      </c>
      <c r="F26" s="265">
        <v>9.27</v>
      </c>
      <c r="G26" s="265">
        <v>5.1412209787393186</v>
      </c>
      <c r="H26" s="860">
        <f t="shared" si="5"/>
        <v>-2.1218545788741383E-2</v>
      </c>
      <c r="I26" s="860">
        <f t="shared" si="6"/>
        <v>3.1921766808751362E-2</v>
      </c>
      <c r="J26" s="860"/>
      <c r="K26" s="954">
        <v>1.2394166666666673</v>
      </c>
      <c r="L26" s="265">
        <f t="shared" si="0"/>
        <v>123.94166666666673</v>
      </c>
      <c r="M26" s="956">
        <v>0.69577</v>
      </c>
      <c r="N26" s="264">
        <f t="shared" si="1"/>
        <v>69.576999999999998</v>
      </c>
    </row>
    <row r="27" spans="1:14">
      <c r="A27" s="238">
        <f t="shared" si="2"/>
        <v>21</v>
      </c>
      <c r="B27" s="859">
        <f t="shared" si="3"/>
        <v>1990</v>
      </c>
      <c r="C27" s="264">
        <v>10.840248215196695</v>
      </c>
      <c r="D27" s="860">
        <f t="shared" si="4"/>
        <v>-1.2479620827015259E-2</v>
      </c>
      <c r="E27" s="265">
        <v>6.57</v>
      </c>
      <c r="F27" s="265">
        <v>9.09</v>
      </c>
      <c r="G27" s="265">
        <v>5.0422686666389653</v>
      </c>
      <c r="H27" s="860">
        <f t="shared" si="5"/>
        <v>-1.9246850604079158E-2</v>
      </c>
      <c r="I27" s="860">
        <f t="shared" si="6"/>
        <v>6.7672297770638989E-3</v>
      </c>
      <c r="J27" s="860"/>
      <c r="K27" s="954">
        <v>1.3065833333333339</v>
      </c>
      <c r="L27" s="265">
        <f t="shared" si="0"/>
        <v>130.65833333333339</v>
      </c>
      <c r="M27" s="956">
        <v>0.72262000000000004</v>
      </c>
      <c r="N27" s="264">
        <f t="shared" si="1"/>
        <v>72.262</v>
      </c>
    </row>
    <row r="28" spans="1:14">
      <c r="A28" s="238">
        <f t="shared" si="2"/>
        <v>22</v>
      </c>
      <c r="B28" s="859">
        <f t="shared" si="3"/>
        <v>1991</v>
      </c>
      <c r="C28" s="264">
        <v>10.692143811138333</v>
      </c>
      <c r="D28" s="860">
        <f t="shared" si="4"/>
        <v>-1.3662455058062073E-2</v>
      </c>
      <c r="E28" s="265">
        <v>6.75</v>
      </c>
      <c r="F28" s="265">
        <v>9.02</v>
      </c>
      <c r="G28" s="265">
        <v>5.0030898876404484</v>
      </c>
      <c r="H28" s="860">
        <f t="shared" si="5"/>
        <v>-7.7700697025000487E-3</v>
      </c>
      <c r="I28" s="860">
        <f t="shared" si="6"/>
        <v>-5.8923853555620243E-3</v>
      </c>
      <c r="J28" s="860"/>
      <c r="K28" s="954">
        <v>1.3616666666666666</v>
      </c>
      <c r="L28" s="265">
        <f t="shared" si="0"/>
        <v>136.16666666666666</v>
      </c>
      <c r="M28" s="956">
        <v>0.74824000000000002</v>
      </c>
      <c r="N28" s="264">
        <f t="shared" si="1"/>
        <v>74.823999999999998</v>
      </c>
    </row>
    <row r="29" spans="1:14">
      <c r="A29" s="238">
        <f t="shared" si="2"/>
        <v>23</v>
      </c>
      <c r="B29" s="859">
        <f t="shared" si="3"/>
        <v>1992</v>
      </c>
      <c r="C29" s="264">
        <v>10.320843681805142</v>
      </c>
      <c r="D29" s="860">
        <f t="shared" si="4"/>
        <v>-3.4726443629237047E-2</v>
      </c>
      <c r="E29" s="265">
        <v>6.82</v>
      </c>
      <c r="F29" s="265">
        <v>8.9</v>
      </c>
      <c r="G29" s="265">
        <v>4.9378678478564799</v>
      </c>
      <c r="H29" s="860">
        <f t="shared" si="5"/>
        <v>-1.3036351784342703E-2</v>
      </c>
      <c r="I29" s="860">
        <f t="shared" si="6"/>
        <v>-2.1690091844894344E-2</v>
      </c>
      <c r="J29" s="860"/>
      <c r="K29" s="954">
        <v>1.4030833333333339</v>
      </c>
      <c r="L29" s="265">
        <f t="shared" si="0"/>
        <v>140.30833333333339</v>
      </c>
      <c r="M29" s="956">
        <v>0.76597999999999999</v>
      </c>
      <c r="N29" s="264">
        <f t="shared" si="1"/>
        <v>76.597999999999999</v>
      </c>
    </row>
    <row r="30" spans="1:14">
      <c r="A30" s="238">
        <f t="shared" si="2"/>
        <v>24</v>
      </c>
      <c r="B30" s="859">
        <f t="shared" si="3"/>
        <v>1993</v>
      </c>
      <c r="C30" s="264">
        <v>10.197490145603734</v>
      </c>
      <c r="D30" s="860">
        <f t="shared" si="4"/>
        <v>-1.1951884943172897E-2</v>
      </c>
      <c r="E30" s="265">
        <v>6.93</v>
      </c>
      <c r="F30" s="265">
        <v>8.85</v>
      </c>
      <c r="G30" s="265">
        <v>4.9090453057885037</v>
      </c>
      <c r="H30" s="860">
        <f t="shared" si="5"/>
        <v>-5.8370420100424258E-3</v>
      </c>
      <c r="I30" s="860">
        <f t="shared" si="6"/>
        <v>-6.114842933130471E-3</v>
      </c>
      <c r="J30" s="860"/>
      <c r="K30" s="954">
        <v>1.44475</v>
      </c>
      <c r="L30" s="265">
        <f t="shared" si="0"/>
        <v>144.47499999999999</v>
      </c>
      <c r="M30" s="956">
        <v>0.78290000000000004</v>
      </c>
      <c r="N30" s="264">
        <f t="shared" si="1"/>
        <v>78.290000000000006</v>
      </c>
    </row>
    <row r="31" spans="1:14">
      <c r="A31" s="238">
        <f t="shared" si="2"/>
        <v>25</v>
      </c>
      <c r="B31" s="859">
        <f t="shared" si="3"/>
        <v>1994</v>
      </c>
      <c r="C31" s="264">
        <v>10.111816743850719</v>
      </c>
      <c r="D31" s="860">
        <f t="shared" si="4"/>
        <v>-8.4014204014650762E-3</v>
      </c>
      <c r="E31" s="265">
        <v>6.91</v>
      </c>
      <c r="F31" s="265">
        <v>8.64</v>
      </c>
      <c r="G31" s="265">
        <v>4.7938817107371792</v>
      </c>
      <c r="H31" s="860">
        <f t="shared" si="5"/>
        <v>-2.3459468771968583E-2</v>
      </c>
      <c r="I31" s="860">
        <f t="shared" si="6"/>
        <v>1.5058048370503507E-2</v>
      </c>
      <c r="J31" s="860"/>
      <c r="K31" s="954">
        <v>1.4822499999999998</v>
      </c>
      <c r="L31" s="265">
        <f t="shared" si="0"/>
        <v>148.22499999999999</v>
      </c>
      <c r="M31" s="956">
        <v>0.7994</v>
      </c>
      <c r="N31" s="264">
        <f t="shared" si="1"/>
        <v>79.94</v>
      </c>
    </row>
    <row r="32" spans="1:14">
      <c r="A32" s="238">
        <f t="shared" si="2"/>
        <v>26</v>
      </c>
      <c r="B32" s="859">
        <f t="shared" si="3"/>
        <v>1995</v>
      </c>
      <c r="C32" s="264">
        <v>9.9438167466939102</v>
      </c>
      <c r="D32" s="860">
        <f t="shared" si="4"/>
        <v>-1.6614224863101268E-2</v>
      </c>
      <c r="E32" s="265">
        <v>6.89</v>
      </c>
      <c r="F32" s="265">
        <v>8.44</v>
      </c>
      <c r="G32" s="265">
        <v>4.6824553571428567</v>
      </c>
      <c r="H32" s="860">
        <f t="shared" si="5"/>
        <v>-2.3243450781180841E-2</v>
      </c>
      <c r="I32" s="860">
        <f t="shared" si="6"/>
        <v>6.6292259180795732E-3</v>
      </c>
      <c r="J32" s="860"/>
      <c r="K32" s="954">
        <v>1.5238333333333338</v>
      </c>
      <c r="L32" s="265">
        <f t="shared" si="0"/>
        <v>152.38333333333338</v>
      </c>
      <c r="M32" s="956">
        <v>0.81606000000000001</v>
      </c>
      <c r="N32" s="264">
        <f t="shared" si="1"/>
        <v>81.605999999999995</v>
      </c>
    </row>
    <row r="33" spans="1:14">
      <c r="A33" s="238">
        <f t="shared" si="2"/>
        <v>27</v>
      </c>
      <c r="B33" s="859">
        <f t="shared" si="3"/>
        <v>1996</v>
      </c>
      <c r="C33" s="264">
        <v>9.7189760832281973</v>
      </c>
      <c r="D33" s="860">
        <f t="shared" si="4"/>
        <v>-2.2611102878627332E-2</v>
      </c>
      <c r="E33" s="265">
        <v>6.86</v>
      </c>
      <c r="F33" s="265">
        <v>8.25</v>
      </c>
      <c r="G33" s="265">
        <v>4.5749845946466401</v>
      </c>
      <c r="H33" s="860">
        <f t="shared" si="5"/>
        <v>-2.295179650400192E-2</v>
      </c>
      <c r="I33" s="860">
        <f t="shared" si="6"/>
        <v>3.4069362537458847E-4</v>
      </c>
      <c r="J33" s="860"/>
      <c r="K33" s="954">
        <v>1.5685833333333339</v>
      </c>
      <c r="L33" s="265">
        <f t="shared" si="0"/>
        <v>156.85833333333338</v>
      </c>
      <c r="M33" s="956">
        <v>0.83159000000000005</v>
      </c>
      <c r="N33" s="264">
        <f t="shared" si="1"/>
        <v>83.159000000000006</v>
      </c>
    </row>
    <row r="34" spans="1:14">
      <c r="A34" s="238">
        <f t="shared" si="2"/>
        <v>28</v>
      </c>
      <c r="B34" s="859">
        <f t="shared" si="3"/>
        <v>1997</v>
      </c>
      <c r="C34" s="264">
        <v>9.4328132530970503</v>
      </c>
      <c r="D34" s="860">
        <f t="shared" si="4"/>
        <v>-2.9443722021805452E-2</v>
      </c>
      <c r="E34" s="265">
        <v>6.85</v>
      </c>
      <c r="F34" s="265">
        <v>8.09</v>
      </c>
      <c r="G34" s="265">
        <v>4.4890568269173903</v>
      </c>
      <c r="H34" s="860">
        <f t="shared" si="5"/>
        <v>-1.8782088977916334E-2</v>
      </c>
      <c r="I34" s="860">
        <f t="shared" si="6"/>
        <v>-1.0661633043889118E-2</v>
      </c>
      <c r="J34" s="860"/>
      <c r="K34" s="954">
        <v>1.6052500000000005</v>
      </c>
      <c r="L34" s="265">
        <f t="shared" si="0"/>
        <v>160.52500000000006</v>
      </c>
      <c r="M34" s="956">
        <v>0.84628000000000003</v>
      </c>
      <c r="N34" s="264">
        <f t="shared" si="1"/>
        <v>84.628</v>
      </c>
    </row>
    <row r="35" spans="1:14">
      <c r="A35" s="238">
        <f t="shared" si="2"/>
        <v>29</v>
      </c>
      <c r="B35" s="859">
        <f t="shared" si="3"/>
        <v>1998</v>
      </c>
      <c r="C35" s="264">
        <v>9.4774783801196083</v>
      </c>
      <c r="D35" s="860">
        <f t="shared" si="4"/>
        <v>4.7350801742940263E-3</v>
      </c>
      <c r="E35" s="265">
        <v>6.74</v>
      </c>
      <c r="F35" s="265">
        <v>7.88</v>
      </c>
      <c r="G35" s="265">
        <v>4.3675887312743384</v>
      </c>
      <c r="H35" s="860">
        <f t="shared" si="5"/>
        <v>-2.7058711958089288E-2</v>
      </c>
      <c r="I35" s="860">
        <f t="shared" si="6"/>
        <v>3.1793792132383314E-2</v>
      </c>
      <c r="J35" s="860"/>
      <c r="K35" s="954">
        <v>1.630083333333334</v>
      </c>
      <c r="L35" s="265">
        <f t="shared" si="0"/>
        <v>163.00833333333341</v>
      </c>
      <c r="M35" s="956">
        <v>0.85584000000000005</v>
      </c>
      <c r="N35" s="264">
        <f t="shared" si="1"/>
        <v>85.584000000000003</v>
      </c>
    </row>
    <row r="36" spans="1:14">
      <c r="A36" s="238">
        <f t="shared" si="2"/>
        <v>30</v>
      </c>
      <c r="B36" s="859">
        <f t="shared" si="3"/>
        <v>1999</v>
      </c>
      <c r="C36" s="264">
        <v>8.5173837753665786</v>
      </c>
      <c r="D36" s="860">
        <f t="shared" si="4"/>
        <v>-0.10130274807769202</v>
      </c>
      <c r="E36" s="265">
        <v>6.64</v>
      </c>
      <c r="F36" s="265">
        <v>7.65</v>
      </c>
      <c r="G36" s="265">
        <v>4.2404536234556511</v>
      </c>
      <c r="H36" s="860">
        <f t="shared" si="5"/>
        <v>-2.9108763585804165E-2</v>
      </c>
      <c r="I36" s="860">
        <f t="shared" si="6"/>
        <v>-7.2193984491887853E-2</v>
      </c>
      <c r="J36" s="860"/>
      <c r="K36" s="954">
        <v>1.6658333333333337</v>
      </c>
      <c r="L36" s="265">
        <f t="shared" si="0"/>
        <v>166.58333333333337</v>
      </c>
      <c r="M36" s="956">
        <v>0.86841999999999997</v>
      </c>
      <c r="N36" s="264">
        <f t="shared" si="1"/>
        <v>86.841999999999999</v>
      </c>
    </row>
    <row r="37" spans="1:14">
      <c r="A37" s="238">
        <f t="shared" si="2"/>
        <v>31</v>
      </c>
      <c r="B37" s="859">
        <f t="shared" si="3"/>
        <v>2000</v>
      </c>
      <c r="C37" s="264">
        <v>9.3479942810496794</v>
      </c>
      <c r="D37" s="860">
        <f t="shared" si="4"/>
        <v>9.751944113230393E-2</v>
      </c>
      <c r="E37" s="265">
        <v>6.81</v>
      </c>
      <c r="F37" s="265">
        <v>7.68</v>
      </c>
      <c r="G37" s="265">
        <v>4.2568357643236654</v>
      </c>
      <c r="H37" s="860">
        <f t="shared" si="5"/>
        <v>3.863299147383259E-3</v>
      </c>
      <c r="I37" s="860">
        <f t="shared" si="6"/>
        <v>9.3656141984920671E-2</v>
      </c>
      <c r="J37" s="860"/>
      <c r="K37" s="954">
        <v>1.721916666666667</v>
      </c>
      <c r="L37" s="265">
        <f t="shared" si="0"/>
        <v>172.19166666666669</v>
      </c>
      <c r="M37" s="956">
        <v>0.88722999999999996</v>
      </c>
      <c r="N37" s="264">
        <f t="shared" si="1"/>
        <v>88.722999999999999</v>
      </c>
    </row>
    <row r="38" spans="1:14">
      <c r="A38" s="238">
        <f t="shared" si="2"/>
        <v>32</v>
      </c>
      <c r="B38" s="859">
        <f t="shared" si="3"/>
        <v>2001</v>
      </c>
      <c r="C38" s="264">
        <v>9.6486467023080333</v>
      </c>
      <c r="D38" s="860">
        <f t="shared" si="4"/>
        <v>3.2162238467329685E-2</v>
      </c>
      <c r="E38" s="265">
        <v>7.29</v>
      </c>
      <c r="F38" s="265">
        <v>8.0399999999999991</v>
      </c>
      <c r="G38" s="265">
        <v>4.4561884169884172</v>
      </c>
      <c r="H38" s="860">
        <f t="shared" si="5"/>
        <v>4.6831182526588577E-2</v>
      </c>
      <c r="I38" s="860">
        <f t="shared" si="6"/>
        <v>-1.4668944059258893E-2</v>
      </c>
      <c r="J38" s="860"/>
      <c r="K38" s="954">
        <v>1.7704166666666661</v>
      </c>
      <c r="L38" s="265">
        <f t="shared" si="0"/>
        <v>177.0416666666666</v>
      </c>
      <c r="M38" s="956">
        <v>0.90727000000000002</v>
      </c>
      <c r="N38" s="264">
        <f t="shared" si="1"/>
        <v>90.727000000000004</v>
      </c>
    </row>
    <row r="39" spans="1:14">
      <c r="A39" s="238">
        <f t="shared" si="2"/>
        <v>33</v>
      </c>
      <c r="B39" s="861">
        <f t="shared" si="3"/>
        <v>2002</v>
      </c>
      <c r="C39" s="264">
        <v>8.9401585347098429</v>
      </c>
      <c r="D39" s="860">
        <f t="shared" si="4"/>
        <v>-7.3428760473602472E-2</v>
      </c>
      <c r="E39" s="265">
        <v>7.2</v>
      </c>
      <c r="F39" s="265">
        <v>7.81</v>
      </c>
      <c r="G39" s="265">
        <v>4.3310362795544837</v>
      </c>
      <c r="H39" s="860">
        <f t="shared" si="5"/>
        <v>-2.8085019241290032E-2</v>
      </c>
      <c r="I39" s="860">
        <f t="shared" si="6"/>
        <v>-4.534374123231244E-2</v>
      </c>
      <c r="J39" s="860"/>
      <c r="K39" s="954">
        <v>1.7986666666666666</v>
      </c>
      <c r="L39" s="265">
        <f t="shared" si="0"/>
        <v>179.86666666666667</v>
      </c>
      <c r="M39" s="956">
        <v>0.92196</v>
      </c>
      <c r="N39" s="264">
        <f t="shared" si="1"/>
        <v>92.195999999999998</v>
      </c>
    </row>
    <row r="40" spans="1:14">
      <c r="A40" s="238">
        <f t="shared" si="2"/>
        <v>34</v>
      </c>
      <c r="B40" s="861">
        <f t="shared" si="3"/>
        <v>2003</v>
      </c>
      <c r="C40" s="264">
        <v>9.4588272299579721</v>
      </c>
      <c r="D40" s="860">
        <f t="shared" si="4"/>
        <v>5.8015603776422564E-2</v>
      </c>
      <c r="E40" s="265">
        <v>7.44</v>
      </c>
      <c r="F40" s="265">
        <v>7.9</v>
      </c>
      <c r="G40" s="265">
        <v>4.3811400637619551</v>
      </c>
      <c r="H40" s="860">
        <f t="shared" si="5"/>
        <v>1.156854410201924E-2</v>
      </c>
      <c r="I40" s="860">
        <f t="shared" si="6"/>
        <v>4.6447059674403324E-2</v>
      </c>
      <c r="J40" s="860"/>
      <c r="K40" s="954">
        <v>1.84</v>
      </c>
      <c r="L40" s="265">
        <f t="shared" si="0"/>
        <v>184</v>
      </c>
      <c r="M40" s="956">
        <v>0.94135000000000002</v>
      </c>
      <c r="N40" s="264">
        <f t="shared" si="1"/>
        <v>94.135000000000005</v>
      </c>
    </row>
    <row r="41" spans="1:14">
      <c r="A41" s="238">
        <f t="shared" si="2"/>
        <v>35</v>
      </c>
      <c r="B41" s="861">
        <f t="shared" si="3"/>
        <v>2004</v>
      </c>
      <c r="C41" s="264">
        <v>9.6246733816846248</v>
      </c>
      <c r="D41" s="860">
        <f t="shared" si="4"/>
        <v>1.7533479330438029E-2</v>
      </c>
      <c r="E41" s="265">
        <v>7.61</v>
      </c>
      <c r="F41" s="265">
        <v>7.86</v>
      </c>
      <c r="G41" s="265">
        <v>4.3576038028314557</v>
      </c>
      <c r="H41" s="860">
        <f t="shared" si="5"/>
        <v>-5.3721772387914646E-3</v>
      </c>
      <c r="I41" s="860">
        <f t="shared" si="6"/>
        <v>2.2905656569229493E-2</v>
      </c>
      <c r="J41" s="860"/>
      <c r="K41" s="954">
        <v>1.8890833333333334</v>
      </c>
      <c r="L41" s="265">
        <f t="shared" si="0"/>
        <v>188.90833333333333</v>
      </c>
      <c r="M41" s="956">
        <v>0.96786000000000005</v>
      </c>
      <c r="N41" s="264">
        <f t="shared" si="1"/>
        <v>96.786000000000001</v>
      </c>
    </row>
    <row r="42" spans="1:14">
      <c r="A42" s="238">
        <f t="shared" si="2"/>
        <v>36</v>
      </c>
      <c r="B42" s="861">
        <f t="shared" si="3"/>
        <v>2005</v>
      </c>
      <c r="C42" s="264">
        <v>10.622770135550279</v>
      </c>
      <c r="D42" s="860">
        <f t="shared" si="4"/>
        <v>0.10370188309610517</v>
      </c>
      <c r="E42" s="265">
        <v>8.14</v>
      </c>
      <c r="F42" s="265">
        <v>8.14</v>
      </c>
      <c r="G42" s="265">
        <v>4.5105367999999997</v>
      </c>
      <c r="H42" s="860">
        <f t="shared" si="5"/>
        <v>3.5095663600525739E-2</v>
      </c>
      <c r="I42" s="860">
        <f t="shared" si="6"/>
        <v>6.8606219495579435E-2</v>
      </c>
      <c r="J42" s="860"/>
      <c r="K42" s="954">
        <v>1.9526666666666672</v>
      </c>
      <c r="L42" s="265">
        <f t="shared" si="0"/>
        <v>195.26666666666671</v>
      </c>
      <c r="M42" s="956">
        <v>1</v>
      </c>
      <c r="N42" s="264">
        <f>M42*100</f>
        <v>100</v>
      </c>
    </row>
    <row r="43" spans="1:14">
      <c r="A43" s="238">
        <f t="shared" si="2"/>
        <v>37</v>
      </c>
      <c r="B43" s="861">
        <f t="shared" si="3"/>
        <v>2006</v>
      </c>
      <c r="C43" s="264">
        <v>11.488120983649852</v>
      </c>
      <c r="D43" s="860">
        <f t="shared" si="4"/>
        <v>8.1461882075710035E-2</v>
      </c>
      <c r="E43" s="265">
        <v>8.9</v>
      </c>
      <c r="F43" s="265">
        <v>8.6199999999999992</v>
      </c>
      <c r="G43" s="265">
        <v>4.7761100942308987</v>
      </c>
      <c r="H43" s="860">
        <f t="shared" si="5"/>
        <v>5.8878423124914869E-2</v>
      </c>
      <c r="I43" s="860">
        <f t="shared" si="6"/>
        <v>2.2583458950795166E-2</v>
      </c>
      <c r="J43" s="860"/>
      <c r="K43" s="954">
        <v>2.0155833333333342</v>
      </c>
      <c r="L43" s="265">
        <f t="shared" si="0"/>
        <v>201.55833333333342</v>
      </c>
      <c r="M43" s="956">
        <v>1.0323100000000001</v>
      </c>
      <c r="N43" s="264">
        <f t="shared" si="1"/>
        <v>103.23100000000001</v>
      </c>
    </row>
    <row r="44" spans="1:14">
      <c r="A44" s="238">
        <f t="shared" si="2"/>
        <v>38</v>
      </c>
      <c r="B44" s="861">
        <f t="shared" si="3"/>
        <v>2007</v>
      </c>
      <c r="C44" s="264">
        <v>11.52723730027849</v>
      </c>
      <c r="D44" s="860">
        <f t="shared" si="4"/>
        <v>3.4049359929537726E-3</v>
      </c>
      <c r="E44" s="265">
        <v>9.1300000000000008</v>
      </c>
      <c r="F44" s="265">
        <v>8.59</v>
      </c>
      <c r="G44" s="265">
        <v>4.7631344267234068</v>
      </c>
      <c r="H44" s="860">
        <f t="shared" si="5"/>
        <v>-2.716785679451883E-3</v>
      </c>
      <c r="I44" s="860">
        <f t="shared" si="6"/>
        <v>6.1217216724056556E-3</v>
      </c>
      <c r="J44" s="860"/>
      <c r="K44" s="954">
        <v>2.0734416666666666</v>
      </c>
      <c r="L44" s="265">
        <f t="shared" si="0"/>
        <v>207.34416666666667</v>
      </c>
      <c r="M44" s="956">
        <v>1.06227</v>
      </c>
      <c r="N44" s="264">
        <f t="shared" si="1"/>
        <v>106.227</v>
      </c>
    </row>
    <row r="45" spans="1:14">
      <c r="A45" s="238">
        <f t="shared" si="2"/>
        <v>39</v>
      </c>
      <c r="B45" s="861">
        <f t="shared" si="3"/>
        <v>2008</v>
      </c>
      <c r="C45" s="264">
        <v>13.207478945777604</v>
      </c>
      <c r="D45" s="860">
        <f t="shared" si="4"/>
        <v>0.14576273583424193</v>
      </c>
      <c r="E45" s="265">
        <v>9.74</v>
      </c>
      <c r="F45" s="265">
        <v>8.9700000000000006</v>
      </c>
      <c r="G45" s="265">
        <v>4.9750917655300828</v>
      </c>
      <c r="H45" s="860">
        <f t="shared" si="5"/>
        <v>4.4499550047862657E-2</v>
      </c>
      <c r="I45" s="860">
        <f t="shared" si="6"/>
        <v>0.10126318578637927</v>
      </c>
      <c r="J45" s="860"/>
      <c r="K45" s="954">
        <v>2.1525516666666666</v>
      </c>
      <c r="L45" s="265">
        <f t="shared" si="0"/>
        <v>215.25516666666667</v>
      </c>
      <c r="M45" s="956">
        <v>1.08582</v>
      </c>
      <c r="N45" s="264">
        <f t="shared" si="1"/>
        <v>108.58199999999999</v>
      </c>
    </row>
    <row r="46" spans="1:14">
      <c r="A46" s="238">
        <f t="shared" si="2"/>
        <v>40</v>
      </c>
      <c r="B46" s="861">
        <f t="shared" si="3"/>
        <v>2009</v>
      </c>
      <c r="C46" s="264">
        <v>11.058146935286631</v>
      </c>
      <c r="D46" s="860">
        <f t="shared" si="4"/>
        <v>-0.1627359785554009</v>
      </c>
      <c r="E46" s="265">
        <v>9.82</v>
      </c>
      <c r="F46" s="265">
        <v>8.9499999999999993</v>
      </c>
      <c r="G46" s="265">
        <v>4.9924813701375603</v>
      </c>
      <c r="H46" s="860">
        <f>(G46/G45)-1</f>
        <v>3.4953334384626444E-3</v>
      </c>
      <c r="I46" s="860">
        <f t="shared" si="6"/>
        <v>-0.16623131199386354</v>
      </c>
      <c r="K46" s="954">
        <v>2.1456491666666673</v>
      </c>
      <c r="L46" s="265">
        <f t="shared" si="0"/>
        <v>214.56491666666673</v>
      </c>
      <c r="M46" s="956">
        <v>1.0972900000000001</v>
      </c>
      <c r="N46" s="264">
        <f>M46*100</f>
        <v>109.72900000000001</v>
      </c>
    </row>
    <row r="47" spans="1:14">
      <c r="A47" s="238">
        <f t="shared" si="2"/>
        <v>41</v>
      </c>
      <c r="B47" s="861">
        <f t="shared" si="3"/>
        <v>2010</v>
      </c>
      <c r="C47" s="264">
        <v>10.575270831648373</v>
      </c>
      <c r="D47" s="860">
        <f t="shared" si="4"/>
        <v>-4.3667000127968758E-2</v>
      </c>
      <c r="E47" s="265">
        <v>9.83</v>
      </c>
      <c r="F47" s="265">
        <v>8.86</v>
      </c>
      <c r="G47" s="265">
        <f>E47*$N$39/N47*((($N$19)/1)/N39)</f>
        <v>4.9117230971601558</v>
      </c>
      <c r="H47" s="860">
        <f t="shared" ref="H47:H48" si="7">(G47/G46)-1</f>
        <v>-1.6175978834985449E-2</v>
      </c>
      <c r="I47" s="860">
        <f t="shared" si="6"/>
        <v>-2.7491021292983309E-2</v>
      </c>
      <c r="K47" s="954">
        <v>2.1808474999999996</v>
      </c>
      <c r="L47" s="265">
        <f t="shared" si="0"/>
        <v>218.08474999999996</v>
      </c>
      <c r="M47" s="956">
        <v>1.10992</v>
      </c>
      <c r="N47" s="264">
        <f>M47*100</f>
        <v>110.992</v>
      </c>
    </row>
    <row r="48" spans="1:14">
      <c r="A48" s="238">
        <f t="shared" si="2"/>
        <v>42</v>
      </c>
      <c r="B48" s="861">
        <f t="shared" si="3"/>
        <v>2011</v>
      </c>
      <c r="C48" s="264">
        <v>9.7898945655695861</v>
      </c>
      <c r="D48" s="860">
        <f t="shared" si="4"/>
        <v>-7.426535722644656E-2</v>
      </c>
      <c r="E48" s="265">
        <v>9.99</v>
      </c>
      <c r="F48" s="265">
        <v>8.81</v>
      </c>
      <c r="G48" s="265">
        <f>E48*$N$39/N48*((($N$19)/1)/N40)</f>
        <v>4.7866845373359119</v>
      </c>
      <c r="H48" s="860">
        <f t="shared" si="7"/>
        <v>-2.545716795324604E-2</v>
      </c>
      <c r="I48" s="860">
        <f t="shared" si="6"/>
        <v>-4.880818927320052E-2</v>
      </c>
      <c r="K48" s="954">
        <v>2.2493666666666661</v>
      </c>
      <c r="L48" s="955">
        <f t="shared" si="0"/>
        <v>224.93666666666661</v>
      </c>
      <c r="M48" s="956">
        <v>1.13361</v>
      </c>
      <c r="N48" s="264">
        <f>M48*100</f>
        <v>113.361</v>
      </c>
    </row>
    <row r="49" spans="1:14">
      <c r="A49" s="238">
        <f t="shared" si="2"/>
        <v>43</v>
      </c>
      <c r="B49" s="861">
        <f t="shared" si="3"/>
        <v>2012</v>
      </c>
      <c r="C49" s="264">
        <v>9.0686455705028415</v>
      </c>
      <c r="D49" s="860">
        <f>(C49/C48)-1</f>
        <v>-7.3672805180489909E-2</v>
      </c>
      <c r="E49" s="860"/>
      <c r="F49" s="265"/>
      <c r="G49" s="265"/>
      <c r="H49" s="860"/>
      <c r="I49" s="860"/>
      <c r="K49" s="954">
        <v>2.2968403302469138</v>
      </c>
      <c r="L49" s="955">
        <f t="shared" si="0"/>
        <v>229.68403302469139</v>
      </c>
      <c r="M49" s="956"/>
      <c r="N49" s="264">
        <f t="shared" si="1"/>
        <v>0</v>
      </c>
    </row>
    <row r="50" spans="1:14">
      <c r="B50" s="861"/>
      <c r="C50" s="264"/>
      <c r="D50" s="860"/>
      <c r="E50" s="860"/>
      <c r="F50" s="265"/>
      <c r="G50" s="265">
        <f>E46*N42/N46*(((N19)/1)/N42)</f>
        <v>4.9632037109606388</v>
      </c>
      <c r="H50" s="860"/>
      <c r="I50" s="860"/>
      <c r="J50" s="860"/>
      <c r="K50" s="954">
        <v>2.3349475833333333</v>
      </c>
      <c r="L50" s="955">
        <f t="shared" si="0"/>
        <v>233.49475833333332</v>
      </c>
      <c r="M50" s="956"/>
      <c r="N50" s="264">
        <f t="shared" si="1"/>
        <v>0</v>
      </c>
    </row>
    <row r="51" spans="1:14" ht="22.5">
      <c r="B51" s="862" t="s">
        <v>517</v>
      </c>
      <c r="C51" s="860">
        <f>RATE($B$49-$B$7,,-C7,C49)</f>
        <v>7.7490974760049984E-3</v>
      </c>
      <c r="D51" s="860"/>
      <c r="E51" s="860"/>
      <c r="F51" s="860">
        <f>RATE($B$46-$B$7,,-F7,F46)</f>
        <v>6.3210061615757507E-3</v>
      </c>
      <c r="G51" s="860">
        <f>RATE($B$46-$B$7,,-G7,G46)</f>
        <v>6.5259278588194079E-3</v>
      </c>
      <c r="H51" s="860"/>
      <c r="I51" s="860">
        <f>AVERAGE(I37:I46)</f>
        <v>1.3533944684827815E-2</v>
      </c>
      <c r="J51" s="860"/>
      <c r="K51" s="860"/>
    </row>
    <row r="52" spans="1:14" ht="13.5" thickBot="1">
      <c r="A52" s="252"/>
      <c r="B52" s="252"/>
      <c r="C52" s="252"/>
      <c r="D52" s="252"/>
      <c r="E52" s="252"/>
      <c r="F52" s="252"/>
      <c r="G52" s="252"/>
      <c r="H52" s="252"/>
      <c r="I52" s="252"/>
      <c r="J52" s="252"/>
      <c r="K52" s="252"/>
      <c r="L52" s="252"/>
    </row>
  </sheetData>
  <mergeCells count="18">
    <mergeCell ref="B1:L1"/>
    <mergeCell ref="C2:D2"/>
    <mergeCell ref="F2:H2"/>
    <mergeCell ref="I2:J3"/>
    <mergeCell ref="L2:L3"/>
    <mergeCell ref="C3:D3"/>
    <mergeCell ref="F3:H3"/>
    <mergeCell ref="N2:N3"/>
    <mergeCell ref="N4:N5"/>
    <mergeCell ref="J4:J5"/>
    <mergeCell ref="L4:L5"/>
    <mergeCell ref="C4:C5"/>
    <mergeCell ref="D4:D5"/>
    <mergeCell ref="F4:F5"/>
    <mergeCell ref="G4:G5"/>
    <mergeCell ref="H4:H5"/>
    <mergeCell ref="I4:I5"/>
    <mergeCell ref="E4:E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L69"/>
  <sheetViews>
    <sheetView topLeftCell="A16" workbookViewId="0">
      <selection activeCell="A2" sqref="A2:C2"/>
    </sheetView>
  </sheetViews>
  <sheetFormatPr baseColWidth="10" defaultRowHeight="15"/>
  <cols>
    <col min="1" max="2" width="11.42578125" style="852"/>
    <col min="3" max="3" width="10.7109375" style="852" customWidth="1"/>
    <col min="4" max="4" width="6.7109375" style="852" customWidth="1"/>
    <col min="5" max="6" width="10.7109375" style="852" customWidth="1"/>
    <col min="7" max="8" width="6.7109375" style="852" customWidth="1"/>
    <col min="9" max="10" width="10.7109375" style="852" customWidth="1"/>
    <col min="11" max="12" width="6.7109375" style="852" customWidth="1"/>
    <col min="13" max="16384" width="11.42578125" style="852"/>
  </cols>
  <sheetData>
    <row r="1" spans="1:12">
      <c r="A1" s="3" t="s">
        <v>64</v>
      </c>
      <c r="B1"/>
      <c r="C1"/>
    </row>
    <row r="2" spans="1:12">
      <c r="A2" s="1183" t="s">
        <v>498</v>
      </c>
      <c r="B2" s="1184"/>
      <c r="C2" s="1184"/>
    </row>
    <row r="4" spans="1:12">
      <c r="E4" s="852" t="s">
        <v>491</v>
      </c>
    </row>
    <row r="5" spans="1:12">
      <c r="C5" s="1185" t="s">
        <v>492</v>
      </c>
      <c r="D5" s="1185"/>
      <c r="E5" s="1185" t="s">
        <v>493</v>
      </c>
      <c r="F5" s="1185"/>
      <c r="G5" s="1185"/>
      <c r="H5" s="1185"/>
      <c r="I5" s="1185" t="s">
        <v>494</v>
      </c>
      <c r="J5" s="1185"/>
      <c r="K5" s="1185"/>
      <c r="L5" s="1185"/>
    </row>
    <row r="6" spans="1:12">
      <c r="C6" s="1185" t="s">
        <v>495</v>
      </c>
      <c r="D6" s="1185"/>
      <c r="E6" s="1185" t="s">
        <v>496</v>
      </c>
      <c r="F6" s="1185"/>
      <c r="G6" s="1185"/>
      <c r="H6" s="1185"/>
      <c r="I6" s="1185" t="s">
        <v>497</v>
      </c>
      <c r="J6" s="1185"/>
      <c r="K6" s="1185"/>
      <c r="L6" s="1185"/>
    </row>
    <row r="9" spans="1:12">
      <c r="B9" s="852">
        <v>1970</v>
      </c>
      <c r="C9" s="853">
        <v>1506.307</v>
      </c>
      <c r="E9" s="853">
        <v>1506.307</v>
      </c>
      <c r="F9" s="853"/>
      <c r="G9" s="853"/>
      <c r="I9" s="853">
        <v>1524.442</v>
      </c>
      <c r="J9" s="853"/>
    </row>
    <row r="10" spans="1:12">
      <c r="B10" s="852">
        <v>1971</v>
      </c>
      <c r="C10" s="853">
        <v>1547.32</v>
      </c>
      <c r="D10" s="854">
        <f>C10/C9-1</f>
        <v>2.722751736531781E-2</v>
      </c>
      <c r="E10" s="853">
        <v>1548.693</v>
      </c>
      <c r="F10" s="853"/>
      <c r="G10" s="854">
        <f t="shared" ref="G10:G49" si="0">E10/E9-1</f>
        <v>2.813901814172004E-2</v>
      </c>
      <c r="I10" s="853">
        <v>1568.875</v>
      </c>
      <c r="J10" s="853"/>
      <c r="K10" s="854">
        <f>I10/I9-1</f>
        <v>2.9147058399073167E-2</v>
      </c>
    </row>
    <row r="11" spans="1:12">
      <c r="B11" s="852">
        <v>1972</v>
      </c>
      <c r="C11" s="853">
        <v>1589.481</v>
      </c>
      <c r="D11" s="854">
        <f t="shared" ref="D11:D49" si="1">C11/C10-1</f>
        <v>2.7247757412816931E-2</v>
      </c>
      <c r="E11" s="853">
        <v>1591.664</v>
      </c>
      <c r="F11" s="853"/>
      <c r="G11" s="854">
        <f t="shared" si="0"/>
        <v>2.7746622474563942E-2</v>
      </c>
      <c r="I11" s="853">
        <v>1613.454</v>
      </c>
      <c r="J11" s="853"/>
      <c r="K11" s="854">
        <f t="shared" ref="K11:K49" si="2">I11/I10-1</f>
        <v>2.8414628316468793E-2</v>
      </c>
    </row>
    <row r="12" spans="1:12">
      <c r="B12" s="852">
        <v>1973</v>
      </c>
      <c r="C12" s="853">
        <v>1632.82</v>
      </c>
      <c r="D12" s="854">
        <f t="shared" si="1"/>
        <v>2.7266132781706753E-2</v>
      </c>
      <c r="E12" s="853">
        <v>1635.1289999999999</v>
      </c>
      <c r="F12" s="853"/>
      <c r="G12" s="854">
        <f t="shared" si="0"/>
        <v>2.7307899154595416E-2</v>
      </c>
      <c r="I12" s="853">
        <v>1658.7333000000001</v>
      </c>
      <c r="J12" s="853"/>
      <c r="K12" s="854">
        <f t="shared" si="2"/>
        <v>2.806358284772914E-2</v>
      </c>
    </row>
    <row r="13" spans="1:12">
      <c r="B13" s="852">
        <v>1974</v>
      </c>
      <c r="C13" s="853">
        <v>1677.373</v>
      </c>
      <c r="D13" s="854">
        <f t="shared" si="1"/>
        <v>2.7285922514423078E-2</v>
      </c>
      <c r="E13" s="853">
        <v>1678.9970000000001</v>
      </c>
      <c r="F13" s="853"/>
      <c r="G13" s="854">
        <f t="shared" si="0"/>
        <v>2.682846429853547E-2</v>
      </c>
      <c r="I13" s="853">
        <v>1704.0364999999999</v>
      </c>
      <c r="J13" s="853"/>
      <c r="K13" s="854">
        <f t="shared" si="2"/>
        <v>2.7311925310717466E-2</v>
      </c>
    </row>
    <row r="14" spans="1:12">
      <c r="B14" s="852">
        <v>1975</v>
      </c>
      <c r="C14" s="853">
        <v>1723.174</v>
      </c>
      <c r="D14" s="854">
        <f t="shared" si="1"/>
        <v>2.7305196876305837E-2</v>
      </c>
      <c r="E14" s="853">
        <v>1723.1769999999999</v>
      </c>
      <c r="F14" s="853"/>
      <c r="G14" s="854">
        <f t="shared" si="0"/>
        <v>2.6313328731379482E-2</v>
      </c>
      <c r="I14" s="853">
        <v>1750.316</v>
      </c>
      <c r="J14" s="853"/>
      <c r="K14" s="854">
        <f t="shared" si="2"/>
        <v>2.7158749240406621E-2</v>
      </c>
    </row>
    <row r="15" spans="1:12">
      <c r="B15" s="852">
        <v>1976</v>
      </c>
      <c r="C15" s="853">
        <v>1766.1999999999998</v>
      </c>
      <c r="D15" s="854">
        <f t="shared" si="1"/>
        <v>2.4969039690710293E-2</v>
      </c>
      <c r="E15" s="853">
        <v>1767.818</v>
      </c>
      <c r="F15" s="853"/>
      <c r="G15" s="854">
        <f t="shared" si="0"/>
        <v>2.5906218571858819E-2</v>
      </c>
      <c r="I15" s="853">
        <v>1796.45</v>
      </c>
      <c r="J15" s="853"/>
      <c r="K15" s="854">
        <f t="shared" si="2"/>
        <v>2.6357526298108391E-2</v>
      </c>
    </row>
    <row r="16" spans="1:12">
      <c r="B16" s="852">
        <v>1977</v>
      </c>
      <c r="C16" s="853">
        <v>1810.3340000000001</v>
      </c>
      <c r="D16" s="854">
        <f t="shared" si="1"/>
        <v>2.4988110066810343E-2</v>
      </c>
      <c r="E16" s="853">
        <v>1812.981</v>
      </c>
      <c r="F16" s="853"/>
      <c r="G16" s="854">
        <f t="shared" si="0"/>
        <v>2.554731312838765E-2</v>
      </c>
      <c r="I16" s="853">
        <v>1842.7190000000001</v>
      </c>
      <c r="J16" s="853"/>
      <c r="K16" s="854">
        <f t="shared" si="2"/>
        <v>2.5755796153525079E-2</v>
      </c>
    </row>
    <row r="17" spans="2:11">
      <c r="B17" s="852">
        <v>1978</v>
      </c>
      <c r="C17" s="853">
        <v>1855.604</v>
      </c>
      <c r="D17" s="854">
        <f t="shared" si="1"/>
        <v>2.5006435276584416E-2</v>
      </c>
      <c r="E17" s="853">
        <v>1858.442</v>
      </c>
      <c r="F17" s="853"/>
      <c r="G17" s="854">
        <f t="shared" si="0"/>
        <v>2.5075276574878513E-2</v>
      </c>
      <c r="I17" s="853">
        <v>1889.059</v>
      </c>
      <c r="J17" s="853"/>
      <c r="K17" s="854">
        <f t="shared" si="2"/>
        <v>2.5147621531009356E-2</v>
      </c>
    </row>
    <row r="18" spans="2:11">
      <c r="B18" s="852">
        <v>1979</v>
      </c>
      <c r="C18" s="853">
        <v>1902.0419999999999</v>
      </c>
      <c r="D18" s="854">
        <f t="shared" si="1"/>
        <v>2.5025813697318933E-2</v>
      </c>
      <c r="E18" s="853">
        <v>1903.9770000000001</v>
      </c>
      <c r="F18" s="853"/>
      <c r="G18" s="854">
        <f t="shared" si="0"/>
        <v>2.4501706267938461E-2</v>
      </c>
      <c r="I18" s="853">
        <v>1935.3889999999999</v>
      </c>
      <c r="J18" s="853"/>
      <c r="K18" s="854">
        <f t="shared" si="2"/>
        <v>2.4525438326701288E-2</v>
      </c>
    </row>
    <row r="19" spans="2:11">
      <c r="B19" s="852">
        <v>1980</v>
      </c>
      <c r="C19" s="853">
        <v>1949.6769999999999</v>
      </c>
      <c r="D19" s="854">
        <f t="shared" si="1"/>
        <v>2.5044136775107972E-2</v>
      </c>
      <c r="E19" s="853">
        <v>1949.3620000000001</v>
      </c>
      <c r="F19" s="853"/>
      <c r="G19" s="854">
        <f t="shared" si="0"/>
        <v>2.383694761018651E-2</v>
      </c>
      <c r="I19" s="853">
        <v>1981.5640000000001</v>
      </c>
      <c r="J19" s="853"/>
      <c r="K19" s="854">
        <f t="shared" si="2"/>
        <v>2.385825278535747E-2</v>
      </c>
    </row>
    <row r="20" spans="2:11">
      <c r="B20" s="852">
        <v>1981</v>
      </c>
      <c r="C20" s="853">
        <v>1991.1399999999999</v>
      </c>
      <c r="D20" s="854">
        <f t="shared" si="1"/>
        <v>2.1266599544437437E-2</v>
      </c>
      <c r="E20" s="853">
        <v>1994.45</v>
      </c>
      <c r="F20" s="853"/>
      <c r="G20" s="854">
        <f t="shared" si="0"/>
        <v>2.3129618818874986E-2</v>
      </c>
      <c r="I20" s="853">
        <v>2029.8340000000001</v>
      </c>
      <c r="J20" s="853"/>
      <c r="K20" s="854">
        <f t="shared" si="2"/>
        <v>2.4359546297772816E-2</v>
      </c>
    </row>
    <row r="21" spans="2:11">
      <c r="B21" s="852">
        <v>1982</v>
      </c>
      <c r="C21" s="853">
        <v>2033.6149999999998</v>
      </c>
      <c r="D21" s="854">
        <f t="shared" si="1"/>
        <v>2.1332000763381709E-2</v>
      </c>
      <c r="E21" s="853">
        <v>2039.39</v>
      </c>
      <c r="F21" s="853"/>
      <c r="G21" s="854">
        <f t="shared" si="0"/>
        <v>2.2532527764546728E-2</v>
      </c>
      <c r="I21" s="853">
        <v>2078.395</v>
      </c>
      <c r="J21" s="853"/>
      <c r="K21" s="854">
        <f t="shared" si="2"/>
        <v>2.3923631193486727E-2</v>
      </c>
    </row>
    <row r="22" spans="2:11">
      <c r="B22" s="852">
        <v>1983</v>
      </c>
      <c r="C22" s="853">
        <v>2077.1299999999997</v>
      </c>
      <c r="D22" s="854">
        <f t="shared" si="1"/>
        <v>2.1397855542961697E-2</v>
      </c>
      <c r="E22" s="853">
        <v>2084.4</v>
      </c>
      <c r="F22" s="853"/>
      <c r="G22" s="854">
        <f t="shared" si="0"/>
        <v>2.2070324950107523E-2</v>
      </c>
      <c r="I22" s="853">
        <v>2127.0010000000002</v>
      </c>
      <c r="J22" s="853"/>
      <c r="K22" s="854">
        <f t="shared" si="2"/>
        <v>2.3386314920888607E-2</v>
      </c>
    </row>
    <row r="23" spans="2:11">
      <c r="B23" s="852">
        <v>1984</v>
      </c>
      <c r="C23" s="853">
        <v>2121.7110000000002</v>
      </c>
      <c r="D23" s="854">
        <f t="shared" si="1"/>
        <v>2.1462787596347122E-2</v>
      </c>
      <c r="E23" s="853">
        <v>2129.71</v>
      </c>
      <c r="F23" s="853"/>
      <c r="G23" s="854">
        <f t="shared" si="0"/>
        <v>2.1737670312799828E-2</v>
      </c>
      <c r="I23" s="853">
        <v>2175.9409999999998</v>
      </c>
      <c r="J23" s="853"/>
      <c r="K23" s="854">
        <f t="shared" si="2"/>
        <v>2.3008921951611416E-2</v>
      </c>
    </row>
    <row r="24" spans="2:11">
      <c r="B24" s="852">
        <v>1985</v>
      </c>
      <c r="C24" s="853">
        <v>2167.3880000000004</v>
      </c>
      <c r="D24" s="854">
        <f t="shared" si="1"/>
        <v>2.1528379689788268E-2</v>
      </c>
      <c r="E24" s="853">
        <v>2175.5340000000001</v>
      </c>
      <c r="F24" s="853"/>
      <c r="G24" s="854">
        <f t="shared" si="0"/>
        <v>2.1516544506059443E-2</v>
      </c>
      <c r="I24" s="853">
        <v>2225.1309999999999</v>
      </c>
      <c r="J24" s="853"/>
      <c r="K24" s="854">
        <f t="shared" si="2"/>
        <v>2.2606311476276231E-2</v>
      </c>
    </row>
    <row r="25" spans="2:11">
      <c r="B25" s="852">
        <v>1986</v>
      </c>
      <c r="C25" s="853">
        <v>2211.2909999999997</v>
      </c>
      <c r="D25" s="854">
        <f t="shared" si="1"/>
        <v>2.0256179327374335E-2</v>
      </c>
      <c r="E25" s="853">
        <v>2221.6350000000002</v>
      </c>
      <c r="F25" s="853"/>
      <c r="G25" s="854">
        <f t="shared" si="0"/>
        <v>2.1190659396727485E-2</v>
      </c>
      <c r="I25" s="853">
        <v>2274.4389999999999</v>
      </c>
      <c r="J25" s="853"/>
      <c r="K25" s="854">
        <f t="shared" si="2"/>
        <v>2.2159594199173016E-2</v>
      </c>
    </row>
    <row r="26" spans="2:11">
      <c r="B26" s="852">
        <v>1987</v>
      </c>
      <c r="C26" s="853">
        <v>2256.2290000000003</v>
      </c>
      <c r="D26" s="854">
        <f t="shared" si="1"/>
        <v>2.032206525509328E-2</v>
      </c>
      <c r="E26" s="853">
        <v>2267.8679999999999</v>
      </c>
      <c r="F26" s="853"/>
      <c r="G26" s="854">
        <f t="shared" si="0"/>
        <v>2.0810349134758654E-2</v>
      </c>
      <c r="I26" s="853">
        <v>2323.9639999999999</v>
      </c>
      <c r="J26" s="853"/>
      <c r="K26" s="854">
        <f t="shared" si="2"/>
        <v>2.1774600242081776E-2</v>
      </c>
    </row>
    <row r="27" spans="2:11">
      <c r="B27" s="852">
        <v>1988</v>
      </c>
      <c r="C27" s="853">
        <v>2302.23</v>
      </c>
      <c r="D27" s="854">
        <f t="shared" si="1"/>
        <v>2.0388444612669865E-2</v>
      </c>
      <c r="E27" s="853">
        <v>2314.585</v>
      </c>
      <c r="F27" s="853"/>
      <c r="G27" s="854">
        <f t="shared" si="0"/>
        <v>2.0599523429053246E-2</v>
      </c>
      <c r="I27" s="853">
        <v>2373.8220000000001</v>
      </c>
      <c r="J27" s="853"/>
      <c r="K27" s="854">
        <f t="shared" si="2"/>
        <v>2.1453860731061258E-2</v>
      </c>
    </row>
    <row r="28" spans="2:11">
      <c r="B28" s="852">
        <v>1989</v>
      </c>
      <c r="C28" s="853">
        <v>2349.3209999999999</v>
      </c>
      <c r="D28" s="854">
        <f t="shared" si="1"/>
        <v>2.0454515838990828E-2</v>
      </c>
      <c r="E28" s="853">
        <v>2362.1489999999999</v>
      </c>
      <c r="F28" s="853"/>
      <c r="G28" s="854">
        <f t="shared" si="0"/>
        <v>2.0549688173041813E-2</v>
      </c>
      <c r="I28" s="853">
        <v>2423.9250000000002</v>
      </c>
      <c r="J28" s="853"/>
      <c r="K28" s="854">
        <f t="shared" si="2"/>
        <v>2.1106468808528955E-2</v>
      </c>
    </row>
    <row r="29" spans="2:11">
      <c r="B29" s="852">
        <v>1990</v>
      </c>
      <c r="C29" s="853">
        <v>2397.5349999999999</v>
      </c>
      <c r="D29" s="854">
        <f t="shared" si="1"/>
        <v>2.0522525444585771E-2</v>
      </c>
      <c r="E29" s="853">
        <v>2410.9119999999998</v>
      </c>
      <c r="F29" s="853"/>
      <c r="G29" s="854">
        <f t="shared" si="0"/>
        <v>2.064349031326973E-2</v>
      </c>
      <c r="I29" s="853">
        <v>2474.1190000000001</v>
      </c>
      <c r="J29" s="853"/>
      <c r="K29" s="854">
        <f t="shared" si="2"/>
        <v>2.0707736419237399E-2</v>
      </c>
    </row>
    <row r="30" spans="2:11">
      <c r="B30" s="852">
        <v>1991</v>
      </c>
      <c r="C30" s="853">
        <v>2442.2069999999999</v>
      </c>
      <c r="D30" s="854">
        <f t="shared" si="1"/>
        <v>1.8632470433174175E-2</v>
      </c>
      <c r="E30" s="853">
        <v>2460.982</v>
      </c>
      <c r="F30" s="853"/>
      <c r="G30" s="854">
        <f t="shared" si="0"/>
        <v>2.0768074487994559E-2</v>
      </c>
      <c r="I30" s="853">
        <v>2524.2310000000002</v>
      </c>
      <c r="J30" s="853"/>
      <c r="K30" s="854">
        <f t="shared" si="2"/>
        <v>2.0254482504681537E-2</v>
      </c>
    </row>
    <row r="31" spans="2:11">
      <c r="B31" s="852">
        <v>1992</v>
      </c>
      <c r="C31" s="853">
        <v>2487.8670000000002</v>
      </c>
      <c r="D31" s="854">
        <f t="shared" si="1"/>
        <v>1.8696203884437379E-2</v>
      </c>
      <c r="E31" s="853">
        <v>2512.1089999999999</v>
      </c>
      <c r="F31" s="853"/>
      <c r="G31" s="854">
        <f t="shared" si="0"/>
        <v>2.0775040207526851E-2</v>
      </c>
      <c r="I31" s="853">
        <v>2574.989</v>
      </c>
      <c r="J31" s="853"/>
      <c r="K31" s="854">
        <f t="shared" si="2"/>
        <v>2.0108302290875901E-2</v>
      </c>
    </row>
    <row r="32" spans="2:11">
      <c r="B32" s="852">
        <v>1993</v>
      </c>
      <c r="C32" s="853">
        <v>2534.538</v>
      </c>
      <c r="D32" s="854">
        <f t="shared" si="1"/>
        <v>1.8759443330370829E-2</v>
      </c>
      <c r="E32" s="853">
        <v>2564.1529999999998</v>
      </c>
      <c r="F32" s="853"/>
      <c r="G32" s="854">
        <f t="shared" si="0"/>
        <v>2.0717253908966393E-2</v>
      </c>
      <c r="I32" s="853">
        <v>2626.1419999999998</v>
      </c>
      <c r="J32" s="853"/>
      <c r="K32" s="854">
        <f t="shared" si="2"/>
        <v>1.9865327580040004E-2</v>
      </c>
    </row>
    <row r="33" spans="2:11">
      <c r="B33" s="852">
        <v>1994</v>
      </c>
      <c r="C33" s="853">
        <v>2582.2460000000001</v>
      </c>
      <c r="D33" s="854">
        <f t="shared" si="1"/>
        <v>1.8823154357914484E-2</v>
      </c>
      <c r="E33" s="853">
        <v>2616.9690000000001</v>
      </c>
      <c r="F33" s="853"/>
      <c r="G33" s="854">
        <f t="shared" si="0"/>
        <v>2.0597834840588858E-2</v>
      </c>
      <c r="I33" s="853">
        <v>2677.8069999999998</v>
      </c>
      <c r="J33" s="853"/>
      <c r="K33" s="854">
        <f t="shared" si="2"/>
        <v>1.967334591960368E-2</v>
      </c>
    </row>
    <row r="34" spans="2:11">
      <c r="B34" s="852">
        <v>1995</v>
      </c>
      <c r="C34" s="853">
        <v>2631.0129999999999</v>
      </c>
      <c r="D34" s="854">
        <f t="shared" si="1"/>
        <v>1.8885497353853919E-2</v>
      </c>
      <c r="E34" s="853">
        <v>2670.415</v>
      </c>
      <c r="F34" s="853"/>
      <c r="G34" s="854">
        <f t="shared" si="0"/>
        <v>2.042286324369913E-2</v>
      </c>
      <c r="I34" s="853">
        <v>2729.989</v>
      </c>
      <c r="J34" s="853"/>
      <c r="K34" s="854">
        <f t="shared" si="2"/>
        <v>1.9486841284678258E-2</v>
      </c>
    </row>
    <row r="35" spans="2:11">
      <c r="B35" s="852">
        <v>1996</v>
      </c>
      <c r="C35" s="853">
        <v>2687.7550000000001</v>
      </c>
      <c r="D35" s="854">
        <f t="shared" si="1"/>
        <v>2.1566598112590096E-2</v>
      </c>
      <c r="E35" s="853">
        <v>2724.7350000000001</v>
      </c>
      <c r="F35" s="853"/>
      <c r="G35" s="854">
        <f t="shared" si="0"/>
        <v>2.0341407608929662E-2</v>
      </c>
      <c r="I35" s="853">
        <v>2783.2849999999999</v>
      </c>
      <c r="J35" s="853"/>
      <c r="K35" s="854">
        <f t="shared" si="2"/>
        <v>1.9522422984121768E-2</v>
      </c>
    </row>
    <row r="36" spans="2:11">
      <c r="B36" s="852">
        <v>1997</v>
      </c>
      <c r="C36" s="853">
        <v>2747.6819999999998</v>
      </c>
      <c r="D36" s="854">
        <f t="shared" si="1"/>
        <v>2.2296303048454869E-2</v>
      </c>
      <c r="E36" s="853">
        <v>2780.03</v>
      </c>
      <c r="F36" s="853"/>
      <c r="G36" s="854">
        <f t="shared" si="0"/>
        <v>2.0293716636663683E-2</v>
      </c>
      <c r="I36" s="853">
        <v>2837.5120000000002</v>
      </c>
      <c r="J36" s="853"/>
      <c r="K36" s="854">
        <f t="shared" si="2"/>
        <v>1.9483092820174797E-2</v>
      </c>
    </row>
    <row r="37" spans="2:11">
      <c r="B37" s="852">
        <v>1998</v>
      </c>
      <c r="C37" s="853">
        <v>2810.9359999999997</v>
      </c>
      <c r="D37" s="854">
        <f t="shared" si="1"/>
        <v>2.3020859036817276E-2</v>
      </c>
      <c r="E37" s="853">
        <v>2835.9259999999999</v>
      </c>
      <c r="F37" s="853"/>
      <c r="G37" s="854">
        <f t="shared" si="0"/>
        <v>2.0106257846138176E-2</v>
      </c>
      <c r="I37" s="853">
        <v>2892.4839999999999</v>
      </c>
      <c r="J37" s="853"/>
      <c r="K37" s="854">
        <f t="shared" si="2"/>
        <v>1.9373310139304989E-2</v>
      </c>
    </row>
    <row r="38" spans="2:11">
      <c r="B38" s="852">
        <v>1999</v>
      </c>
      <c r="C38" s="853">
        <v>2877.6660000000002</v>
      </c>
      <c r="D38" s="854">
        <f t="shared" si="1"/>
        <v>2.3739423451832664E-2</v>
      </c>
      <c r="E38" s="853">
        <v>2892.0479999999998</v>
      </c>
      <c r="F38" s="853"/>
      <c r="G38" s="854">
        <f t="shared" si="0"/>
        <v>1.9789656006538925E-2</v>
      </c>
      <c r="I38" s="853">
        <v>2947.7730000000001</v>
      </c>
      <c r="J38" s="853"/>
      <c r="K38" s="854">
        <f t="shared" si="2"/>
        <v>1.9114712475505558E-2</v>
      </c>
    </row>
    <row r="39" spans="2:11">
      <c r="B39" s="852">
        <v>2000</v>
      </c>
      <c r="C39" s="853">
        <v>2948.0230000000001</v>
      </c>
      <c r="D39" s="854">
        <f t="shared" si="1"/>
        <v>2.4449328031814765E-2</v>
      </c>
      <c r="E39" s="853">
        <v>2948.0230000000001</v>
      </c>
      <c r="F39" s="853"/>
      <c r="G39" s="854">
        <f t="shared" si="0"/>
        <v>1.9354796324265733E-2</v>
      </c>
      <c r="I39" s="853">
        <v>3005.0970000000002</v>
      </c>
      <c r="J39" s="853"/>
      <c r="K39" s="854">
        <f t="shared" si="2"/>
        <v>1.9446544900167062E-2</v>
      </c>
    </row>
    <row r="40" spans="2:11">
      <c r="B40" s="852">
        <v>2001</v>
      </c>
      <c r="C40" s="853">
        <v>3003.9539999999997</v>
      </c>
      <c r="D40" s="854">
        <f t="shared" si="1"/>
        <v>1.8972375724341184E-2</v>
      </c>
      <c r="E40" s="853">
        <v>3003.9540000000002</v>
      </c>
      <c r="F40" s="853"/>
      <c r="G40" s="854">
        <f t="shared" si="0"/>
        <v>1.8972375724341406E-2</v>
      </c>
      <c r="I40" s="853">
        <v>3063.1109999999999</v>
      </c>
      <c r="J40" s="853"/>
      <c r="K40" s="854">
        <f t="shared" si="2"/>
        <v>1.9305200464410754E-2</v>
      </c>
    </row>
    <row r="41" spans="2:11">
      <c r="B41" s="852">
        <v>2002</v>
      </c>
      <c r="C41" s="853">
        <v>3060.09</v>
      </c>
      <c r="D41" s="854">
        <f t="shared" si="1"/>
        <v>1.8687370046279073E-2</v>
      </c>
      <c r="E41" s="853">
        <v>3060.09</v>
      </c>
      <c r="F41" s="853"/>
      <c r="G41" s="854">
        <f t="shared" si="0"/>
        <v>1.8687370046279073E-2</v>
      </c>
      <c r="I41" s="853">
        <v>3121.2849999999999</v>
      </c>
      <c r="J41" s="853"/>
      <c r="K41" s="854">
        <f t="shared" si="2"/>
        <v>1.8991802778286493E-2</v>
      </c>
    </row>
    <row r="42" spans="2:11">
      <c r="B42" s="852">
        <v>2003</v>
      </c>
      <c r="C42" s="853">
        <v>3116.277</v>
      </c>
      <c r="D42" s="854">
        <f t="shared" si="1"/>
        <v>1.8361224669862564E-2</v>
      </c>
      <c r="E42" s="853">
        <v>3116.277</v>
      </c>
      <c r="F42" s="853"/>
      <c r="G42" s="854">
        <f t="shared" si="0"/>
        <v>1.8361224669862564E-2</v>
      </c>
      <c r="I42" s="853">
        <v>3179.4380000000001</v>
      </c>
      <c r="J42" s="853"/>
      <c r="K42" s="854">
        <f t="shared" si="2"/>
        <v>1.863110866197748E-2</v>
      </c>
    </row>
    <row r="43" spans="2:11">
      <c r="B43" s="852">
        <v>2004</v>
      </c>
      <c r="C43" s="853">
        <v>3172.3603999999996</v>
      </c>
      <c r="D43" s="854">
        <f t="shared" si="1"/>
        <v>1.7996923893479178E-2</v>
      </c>
      <c r="E43" s="853">
        <v>3172.36</v>
      </c>
      <c r="F43" s="853"/>
      <c r="G43" s="854">
        <f t="shared" si="0"/>
        <v>1.7996795535185184E-2</v>
      </c>
      <c r="I43" s="853">
        <v>3237.596</v>
      </c>
      <c r="J43" s="853"/>
      <c r="K43" s="854">
        <f t="shared" si="2"/>
        <v>1.8291911966831886E-2</v>
      </c>
    </row>
    <row r="44" spans="2:11">
      <c r="B44" s="852">
        <v>2005</v>
      </c>
      <c r="C44" s="853">
        <v>3228.1860000000001</v>
      </c>
      <c r="D44" s="854">
        <f t="shared" si="1"/>
        <v>1.7597496173511917E-2</v>
      </c>
      <c r="E44" s="853">
        <v>3228.1860000000001</v>
      </c>
      <c r="F44" s="853"/>
      <c r="G44" s="854">
        <f t="shared" si="0"/>
        <v>1.7597624481458629E-2</v>
      </c>
      <c r="I44" s="853">
        <v>3295.7779999999998</v>
      </c>
      <c r="J44" s="853"/>
      <c r="K44" s="854">
        <f t="shared" si="2"/>
        <v>1.7970741253695577E-2</v>
      </c>
    </row>
    <row r="45" spans="2:11">
      <c r="B45" s="852">
        <v>2006</v>
      </c>
      <c r="C45" s="853">
        <v>3283.9590000000003</v>
      </c>
      <c r="D45" s="854">
        <f t="shared" si="1"/>
        <v>1.7276885532617969E-2</v>
      </c>
      <c r="E45" s="853">
        <v>3283.9589999999998</v>
      </c>
      <c r="F45" s="853"/>
      <c r="G45" s="854">
        <f t="shared" si="0"/>
        <v>1.7276885532617969E-2</v>
      </c>
      <c r="I45" s="853">
        <v>3353.9349999999999</v>
      </c>
      <c r="J45" s="853"/>
      <c r="K45" s="854">
        <f t="shared" si="2"/>
        <v>1.7645909402878468E-2</v>
      </c>
    </row>
    <row r="46" spans="2:11">
      <c r="B46" s="852">
        <v>2007</v>
      </c>
      <c r="C46" s="853">
        <v>3339.7809999999999</v>
      </c>
      <c r="D46" s="854">
        <f t="shared" si="1"/>
        <v>1.6998385180813758E-2</v>
      </c>
      <c r="E46" s="853">
        <v>3339.7809999999999</v>
      </c>
      <c r="F46" s="853"/>
      <c r="G46" s="854">
        <f t="shared" si="0"/>
        <v>1.6998385180813758E-2</v>
      </c>
      <c r="I46" s="853">
        <v>3412.0160000000001</v>
      </c>
      <c r="J46" s="853"/>
      <c r="K46" s="854">
        <f t="shared" si="2"/>
        <v>1.7317270609001012E-2</v>
      </c>
    </row>
    <row r="47" spans="2:11">
      <c r="B47" s="852">
        <v>2008</v>
      </c>
      <c r="C47" s="853">
        <v>3395.346</v>
      </c>
      <c r="D47" s="854">
        <f t="shared" si="1"/>
        <v>1.6637318434951309E-2</v>
      </c>
      <c r="E47" s="853">
        <v>3395.346</v>
      </c>
      <c r="F47" s="853"/>
      <c r="G47" s="854">
        <f t="shared" si="0"/>
        <v>1.6637318434951309E-2</v>
      </c>
      <c r="I47" s="853">
        <v>3469.9720000000002</v>
      </c>
      <c r="J47" s="853"/>
      <c r="K47" s="854">
        <f t="shared" si="2"/>
        <v>1.698585235239225E-2</v>
      </c>
    </row>
    <row r="48" spans="2:11">
      <c r="B48" s="852">
        <v>2009</v>
      </c>
      <c r="C48" s="853">
        <v>3450.3490000000002</v>
      </c>
      <c r="D48" s="854">
        <f t="shared" si="1"/>
        <v>1.6199527235221334E-2</v>
      </c>
      <c r="E48" s="853">
        <v>3450.2489999999998</v>
      </c>
      <c r="F48" s="853"/>
      <c r="G48" s="854">
        <f t="shared" si="0"/>
        <v>1.6170075155816255E-2</v>
      </c>
      <c r="I48" s="853">
        <v>3527.7640000000001</v>
      </c>
      <c r="J48" s="853"/>
      <c r="K48" s="854">
        <f t="shared" si="2"/>
        <v>1.6654889434266407E-2</v>
      </c>
    </row>
    <row r="49" spans="2:12">
      <c r="B49" s="852">
        <v>2010</v>
      </c>
      <c r="C49" s="853">
        <v>3504.4639999999999</v>
      </c>
      <c r="D49" s="854">
        <f t="shared" si="1"/>
        <v>1.5683920670053864E-2</v>
      </c>
      <c r="E49" s="853">
        <v>3504.4830000000002</v>
      </c>
      <c r="F49" s="853"/>
      <c r="G49" s="854">
        <f t="shared" si="0"/>
        <v>1.5718865507967861E-2</v>
      </c>
      <c r="I49" s="853">
        <v>3585.3539999999998</v>
      </c>
      <c r="J49" s="853"/>
      <c r="K49" s="854">
        <f t="shared" si="2"/>
        <v>1.6324788166101722E-2</v>
      </c>
    </row>
    <row r="50" spans="2:12">
      <c r="B50" s="852">
        <v>2011</v>
      </c>
      <c r="C50" s="853"/>
      <c r="F50" s="853">
        <v>3557.6869999999999</v>
      </c>
      <c r="G50" s="853"/>
      <c r="H50" s="854">
        <f>F50/E49-1</f>
        <v>1.518169727175156E-2</v>
      </c>
      <c r="J50" s="853">
        <v>3642.7060000000001</v>
      </c>
      <c r="L50" s="854">
        <f>J50/I49-1</f>
        <v>1.5996188939781275E-2</v>
      </c>
    </row>
    <row r="51" spans="2:12">
      <c r="B51" s="852">
        <v>2012</v>
      </c>
      <c r="C51" s="853"/>
      <c r="F51" s="853">
        <v>3610.165</v>
      </c>
      <c r="G51" s="853"/>
      <c r="H51" s="854">
        <f t="shared" ref="H51:H69" si="3">F51/F50-1</f>
        <v>1.4750594979266118E-2</v>
      </c>
      <c r="J51" s="853">
        <v>3700.6039999999998</v>
      </c>
      <c r="L51" s="854">
        <f>J51/J50-1</f>
        <v>1.5894228082090622E-2</v>
      </c>
    </row>
    <row r="52" spans="2:12">
      <c r="B52" s="852">
        <v>2013</v>
      </c>
      <c r="F52" s="853">
        <v>3662.009</v>
      </c>
      <c r="G52" s="853"/>
      <c r="H52" s="854">
        <f t="shared" si="3"/>
        <v>1.4360562467366389E-2</v>
      </c>
      <c r="J52" s="853">
        <v>3757.797</v>
      </c>
      <c r="L52" s="854">
        <f>J52/J51-1</f>
        <v>1.5455044635956705E-2</v>
      </c>
    </row>
    <row r="53" spans="2:12">
      <c r="B53" s="852">
        <v>2014</v>
      </c>
      <c r="F53" s="853">
        <v>3713.3119999999999</v>
      </c>
      <c r="G53" s="853"/>
      <c r="H53" s="854">
        <f t="shared" si="3"/>
        <v>1.4009523187954898E-2</v>
      </c>
      <c r="J53" s="853">
        <v>3814.21</v>
      </c>
      <c r="L53" s="854">
        <f>J53/J52-1</f>
        <v>1.5012253189834457E-2</v>
      </c>
    </row>
    <row r="54" spans="2:12">
      <c r="B54" s="852">
        <v>2015</v>
      </c>
      <c r="F54" s="853">
        <v>3764.1660000000002</v>
      </c>
      <c r="G54" s="853"/>
      <c r="H54" s="854">
        <f t="shared" si="3"/>
        <v>1.3695051748950915E-2</v>
      </c>
      <c r="J54" s="853">
        <v>3869.982</v>
      </c>
      <c r="L54" s="854">
        <f>J54/J53-1</f>
        <v>1.4622162911848147E-2</v>
      </c>
    </row>
    <row r="55" spans="2:12">
      <c r="B55" s="852">
        <v>2016</v>
      </c>
      <c r="F55" s="853">
        <v>3814.672</v>
      </c>
      <c r="G55" s="853"/>
      <c r="H55" s="854">
        <f t="shared" si="3"/>
        <v>1.3417580414891273E-2</v>
      </c>
      <c r="J55" s="853">
        <v>3925.027</v>
      </c>
      <c r="L55" s="854">
        <f t="shared" ref="L55" si="4">J55/J54-1</f>
        <v>1.422358036807414E-2</v>
      </c>
    </row>
    <row r="56" spans="2:12">
      <c r="B56" s="852">
        <v>2017</v>
      </c>
      <c r="F56" s="853">
        <v>3864.7689999999998</v>
      </c>
      <c r="G56" s="853"/>
      <c r="H56" s="854">
        <f t="shared" si="3"/>
        <v>1.313271494901791E-2</v>
      </c>
      <c r="J56" s="853">
        <v>3979.3739999999998</v>
      </c>
      <c r="L56" s="854">
        <f>J55/J54-1</f>
        <v>1.422358036807414E-2</v>
      </c>
    </row>
    <row r="57" spans="2:12">
      <c r="B57" s="852">
        <v>2018</v>
      </c>
      <c r="F57" s="853">
        <v>3914.3040000000001</v>
      </c>
      <c r="G57" s="853"/>
      <c r="H57" s="854">
        <f t="shared" si="3"/>
        <v>1.281706616876721E-2</v>
      </c>
      <c r="J57" s="853">
        <v>4033.1030000000001</v>
      </c>
      <c r="L57" s="854">
        <f>J56/J55-1</f>
        <v>1.3846274178495932E-2</v>
      </c>
    </row>
    <row r="58" spans="2:12">
      <c r="B58" s="852">
        <v>2019</v>
      </c>
      <c r="F58" s="853">
        <v>3963.127</v>
      </c>
      <c r="G58" s="853"/>
      <c r="H58" s="854">
        <f t="shared" si="3"/>
        <v>1.2472970929186866E-2</v>
      </c>
      <c r="J58" s="853">
        <v>4086.0419999999999</v>
      </c>
      <c r="L58" s="854">
        <f>J57/J56-1</f>
        <v>1.3501872405056847E-2</v>
      </c>
    </row>
    <row r="59" spans="2:12">
      <c r="B59" s="852">
        <v>2020</v>
      </c>
      <c r="F59" s="853">
        <v>4011.0839999999998</v>
      </c>
      <c r="G59" s="853"/>
      <c r="H59" s="854">
        <f t="shared" si="3"/>
        <v>1.2100798182848926E-2</v>
      </c>
      <c r="J59" s="853">
        <v>4138.4660000000003</v>
      </c>
      <c r="L59" s="854">
        <f>J58/J57-1</f>
        <v>1.3126121499996257E-2</v>
      </c>
    </row>
    <row r="60" spans="2:12">
      <c r="B60" s="852">
        <v>2021</v>
      </c>
      <c r="F60" s="853">
        <v>4058.181</v>
      </c>
      <c r="H60" s="854">
        <f t="shared" si="3"/>
        <v>1.1741713711306057E-2</v>
      </c>
      <c r="J60" s="853">
        <v>4190.1080000000002</v>
      </c>
      <c r="L60" s="854">
        <f t="shared" ref="L60:L69" si="5">J59/J58-1</f>
        <v>1.283001985784793E-2</v>
      </c>
    </row>
    <row r="61" spans="2:12">
      <c r="B61" s="852">
        <v>2022</v>
      </c>
      <c r="F61" s="853">
        <v>4104.5190000000002</v>
      </c>
      <c r="H61" s="854">
        <f t="shared" si="3"/>
        <v>1.1418416280594812E-2</v>
      </c>
      <c r="J61" s="853">
        <v>4241.1620000000003</v>
      </c>
      <c r="L61" s="854">
        <f t="shared" si="5"/>
        <v>1.2478536733175893E-2</v>
      </c>
    </row>
    <row r="62" spans="2:12">
      <c r="B62" s="852">
        <v>2023</v>
      </c>
      <c r="F62" s="853">
        <v>4150.0910000000003</v>
      </c>
      <c r="H62" s="854">
        <f t="shared" si="3"/>
        <v>1.1102884406187341E-2</v>
      </c>
      <c r="J62" s="853">
        <v>4291.4549999999999</v>
      </c>
      <c r="L62" s="854">
        <f t="shared" si="5"/>
        <v>1.218441147579008E-2</v>
      </c>
    </row>
    <row r="63" spans="2:12">
      <c r="B63" s="852">
        <v>2024</v>
      </c>
      <c r="F63" s="853">
        <v>4194.8890000000001</v>
      </c>
      <c r="H63" s="854">
        <f t="shared" si="3"/>
        <v>1.0794462097337032E-2</v>
      </c>
      <c r="J63" s="853">
        <v>4340.97</v>
      </c>
      <c r="L63" s="854">
        <f t="shared" si="5"/>
        <v>1.1858306756497239E-2</v>
      </c>
    </row>
    <row r="64" spans="2:12">
      <c r="B64" s="852">
        <v>2025</v>
      </c>
      <c r="F64" s="853">
        <v>4282.2240000000002</v>
      </c>
      <c r="H64" s="854">
        <f t="shared" si="3"/>
        <v>2.0819382825147503E-2</v>
      </c>
      <c r="J64" s="853">
        <v>4389.7380000000003</v>
      </c>
      <c r="L64" s="854">
        <f t="shared" si="5"/>
        <v>1.153804478900522E-2</v>
      </c>
    </row>
    <row r="65" spans="2:12">
      <c r="B65" s="852">
        <v>2026</v>
      </c>
      <c r="F65" s="853">
        <v>4324.8459999999995</v>
      </c>
      <c r="H65" s="854">
        <f t="shared" si="3"/>
        <v>9.9532392513794754E-3</v>
      </c>
      <c r="J65" s="853">
        <v>4437.8220000000001</v>
      </c>
      <c r="L65" s="854">
        <f t="shared" si="5"/>
        <v>1.1234355455117084E-2</v>
      </c>
    </row>
    <row r="66" spans="2:12">
      <c r="B66" s="852">
        <v>2027</v>
      </c>
      <c r="F66" s="853">
        <v>4366.652</v>
      </c>
      <c r="H66" s="854">
        <f t="shared" si="3"/>
        <v>9.6664713610612463E-3</v>
      </c>
      <c r="J66" s="853">
        <v>4484.9949999999999</v>
      </c>
      <c r="L66" s="854">
        <f t="shared" si="5"/>
        <v>1.0953728901360371E-2</v>
      </c>
    </row>
    <row r="67" spans="2:12">
      <c r="B67" s="852">
        <v>2028</v>
      </c>
      <c r="F67" s="853">
        <v>4407.5219999999999</v>
      </c>
      <c r="H67" s="854">
        <f t="shared" si="3"/>
        <v>9.3595734214679815E-3</v>
      </c>
      <c r="J67" s="853">
        <v>4531.5010000000002</v>
      </c>
      <c r="L67" s="854">
        <f t="shared" si="5"/>
        <v>1.0629763879668852E-2</v>
      </c>
    </row>
    <row r="68" spans="2:12">
      <c r="B68" s="852">
        <v>2029</v>
      </c>
      <c r="F68" s="853">
        <v>4447.3370000000004</v>
      </c>
      <c r="H68" s="854">
        <f t="shared" si="3"/>
        <v>9.0334205932496303E-3</v>
      </c>
      <c r="J68" s="853">
        <v>4577.1909999999998</v>
      </c>
      <c r="L68" s="854">
        <f t="shared" si="5"/>
        <v>1.0369242329144157E-2</v>
      </c>
    </row>
    <row r="69" spans="2:12">
      <c r="B69" s="852">
        <v>2030</v>
      </c>
      <c r="F69" s="853">
        <v>4486.1850000000004</v>
      </c>
      <c r="H69" s="854">
        <f t="shared" si="3"/>
        <v>8.735114968800417E-3</v>
      </c>
      <c r="J69" s="853">
        <v>4621.92</v>
      </c>
      <c r="L69" s="854">
        <f t="shared" si="5"/>
        <v>1.0082751829912251E-2</v>
      </c>
    </row>
  </sheetData>
  <mergeCells count="7">
    <mergeCell ref="A2:C2"/>
    <mergeCell ref="C5:D5"/>
    <mergeCell ref="E5:H5"/>
    <mergeCell ref="I5:L5"/>
    <mergeCell ref="C6:D6"/>
    <mergeCell ref="E6:H6"/>
    <mergeCell ref="I6:L6"/>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sheetPr>
    <pageSetUpPr fitToPage="1"/>
  </sheetPr>
  <dimension ref="B1:AA100"/>
  <sheetViews>
    <sheetView topLeftCell="N38" workbookViewId="0">
      <selection activeCell="Y32" sqref="Y31:Y32"/>
    </sheetView>
  </sheetViews>
  <sheetFormatPr baseColWidth="10" defaultRowHeight="12.75"/>
  <cols>
    <col min="1" max="1" width="3.42578125" customWidth="1"/>
    <col min="2" max="2" width="16.28515625" customWidth="1"/>
    <col min="3" max="3" width="13.140625" customWidth="1"/>
    <col min="4" max="4" width="15.140625" customWidth="1"/>
    <col min="5" max="7" width="13.140625" customWidth="1"/>
    <col min="8" max="8" width="13.42578125" customWidth="1"/>
    <col min="9" max="13" width="11.7109375" customWidth="1"/>
    <col min="14" max="14" width="2.42578125" customWidth="1"/>
    <col min="15" max="21" width="9.7109375" customWidth="1"/>
  </cols>
  <sheetData>
    <row r="1" spans="2:13">
      <c r="C1" s="3" t="s">
        <v>366</v>
      </c>
      <c r="D1" s="3"/>
      <c r="E1" s="3"/>
      <c r="F1" s="3"/>
      <c r="G1" s="3"/>
    </row>
    <row r="2" spans="2:13" ht="15.75">
      <c r="C2" s="17" t="s">
        <v>367</v>
      </c>
      <c r="D2" s="17"/>
      <c r="E2" s="17"/>
      <c r="F2" s="17"/>
      <c r="G2" s="17"/>
    </row>
    <row r="4" spans="2:13" ht="13.5" thickBot="1"/>
    <row r="5" spans="2:13" ht="6.75" customHeight="1" thickTop="1">
      <c r="B5" s="1383" t="s">
        <v>338</v>
      </c>
      <c r="C5" s="1389" t="s">
        <v>553</v>
      </c>
      <c r="D5" s="1389" t="s">
        <v>562</v>
      </c>
      <c r="E5" s="958"/>
      <c r="F5" s="969"/>
      <c r="G5" s="970"/>
      <c r="H5" s="321"/>
      <c r="I5" s="322"/>
      <c r="J5" s="323"/>
      <c r="K5" s="321"/>
      <c r="L5" s="322"/>
      <c r="M5" s="324"/>
    </row>
    <row r="6" spans="2:13" ht="30" customHeight="1">
      <c r="B6" s="1384"/>
      <c r="C6" s="1390"/>
      <c r="D6" s="1390"/>
      <c r="E6" s="1386" t="s">
        <v>555</v>
      </c>
      <c r="F6" s="1387"/>
      <c r="G6" s="1388"/>
      <c r="H6" s="1386" t="s">
        <v>556</v>
      </c>
      <c r="I6" s="1387"/>
      <c r="J6" s="1388"/>
      <c r="K6" s="1398" t="s">
        <v>557</v>
      </c>
      <c r="L6" s="1399"/>
      <c r="M6" s="1400"/>
    </row>
    <row r="7" spans="2:13" ht="12.75" customHeight="1">
      <c r="B7" s="1384"/>
      <c r="C7" s="1390"/>
      <c r="D7" s="1390"/>
      <c r="E7" s="1404" t="s">
        <v>554</v>
      </c>
      <c r="F7" s="1405"/>
      <c r="G7" s="1406"/>
      <c r="H7" s="1401" t="s">
        <v>558</v>
      </c>
      <c r="I7" s="1402"/>
      <c r="J7" s="1403"/>
      <c r="K7" s="1411" t="s">
        <v>340</v>
      </c>
      <c r="L7" s="1411"/>
      <c r="M7" s="1412"/>
    </row>
    <row r="8" spans="2:13" ht="14.25" customHeight="1">
      <c r="B8" s="1384"/>
      <c r="C8" s="1390"/>
      <c r="D8" s="1390"/>
      <c r="E8" s="1407" t="s">
        <v>341</v>
      </c>
      <c r="F8" s="1409" t="s">
        <v>342</v>
      </c>
      <c r="G8" s="1409" t="s">
        <v>343</v>
      </c>
      <c r="H8" s="1407" t="s">
        <v>341</v>
      </c>
      <c r="I8" s="1409" t="s">
        <v>342</v>
      </c>
      <c r="J8" s="1409" t="s">
        <v>343</v>
      </c>
      <c r="K8" s="1407" t="s">
        <v>341</v>
      </c>
      <c r="L8" s="1409" t="s">
        <v>342</v>
      </c>
      <c r="M8" s="1413" t="s">
        <v>343</v>
      </c>
    </row>
    <row r="9" spans="2:13" ht="32.25" customHeight="1" thickBot="1">
      <c r="B9" s="1385"/>
      <c r="C9" s="1391"/>
      <c r="D9" s="1391"/>
      <c r="E9" s="1408"/>
      <c r="F9" s="1410"/>
      <c r="G9" s="1410"/>
      <c r="H9" s="1408"/>
      <c r="I9" s="1410"/>
      <c r="J9" s="1410"/>
      <c r="K9" s="1408"/>
      <c r="L9" s="1410"/>
      <c r="M9" s="1414"/>
    </row>
    <row r="10" spans="2:13" ht="15.75" hidden="1" customHeight="1">
      <c r="B10" s="971"/>
      <c r="C10" s="975" t="s">
        <v>505</v>
      </c>
      <c r="D10" s="966" t="s">
        <v>559</v>
      </c>
      <c r="E10" s="972"/>
      <c r="F10" s="973"/>
      <c r="G10" s="973"/>
      <c r="H10" s="972"/>
      <c r="I10" s="973"/>
      <c r="J10" s="973"/>
      <c r="K10" s="973"/>
      <c r="L10" s="973"/>
      <c r="M10" s="974"/>
    </row>
    <row r="11" spans="2:13" hidden="1">
      <c r="B11" s="325"/>
      <c r="C11" s="328"/>
      <c r="D11" s="329"/>
      <c r="E11" s="329"/>
      <c r="F11" s="329"/>
      <c r="G11" s="329"/>
      <c r="H11" s="972" t="s">
        <v>566</v>
      </c>
      <c r="I11" s="973" t="s">
        <v>567</v>
      </c>
      <c r="J11" s="973" t="s">
        <v>568</v>
      </c>
      <c r="K11" s="972" t="s">
        <v>566</v>
      </c>
      <c r="L11" s="973" t="s">
        <v>567</v>
      </c>
      <c r="M11" s="973" t="s">
        <v>568</v>
      </c>
    </row>
    <row r="12" spans="2:13">
      <c r="B12" s="325"/>
      <c r="C12" s="328"/>
      <c r="D12" s="329"/>
      <c r="E12" s="329"/>
      <c r="F12" s="329"/>
      <c r="G12" s="329"/>
      <c r="H12" s="329"/>
      <c r="I12" s="327"/>
      <c r="J12" s="330"/>
      <c r="K12" s="327"/>
      <c r="L12" s="327"/>
      <c r="M12" s="326"/>
    </row>
    <row r="13" spans="2:13">
      <c r="B13" s="325">
        <v>1998</v>
      </c>
      <c r="C13" s="331">
        <v>9.4774783801196083</v>
      </c>
      <c r="D13" s="967">
        <v>4.3675647317255564</v>
      </c>
      <c r="E13" s="967"/>
      <c r="F13" s="967"/>
      <c r="G13" s="967"/>
      <c r="H13" s="329"/>
      <c r="I13" s="327"/>
      <c r="J13" s="330"/>
      <c r="K13" s="327"/>
      <c r="L13" s="327"/>
      <c r="M13" s="326"/>
    </row>
    <row r="14" spans="2:13">
      <c r="B14" s="325">
        <f>B13+1</f>
        <v>1999</v>
      </c>
      <c r="C14" s="331">
        <v>8.5173837753665786</v>
      </c>
      <c r="D14" s="967">
        <v>4.2404338914350195</v>
      </c>
      <c r="E14" s="967"/>
      <c r="F14" s="967"/>
      <c r="G14" s="967"/>
      <c r="H14" s="329"/>
      <c r="I14" s="327"/>
      <c r="J14" s="330"/>
      <c r="K14" s="327"/>
      <c r="L14" s="327"/>
      <c r="M14" s="326"/>
    </row>
    <row r="15" spans="2:13">
      <c r="B15" s="325">
        <f t="shared" ref="B15:B42" si="0">B14+1</f>
        <v>2000</v>
      </c>
      <c r="C15" s="331">
        <v>9.3479942810496812</v>
      </c>
      <c r="D15" s="967">
        <v>4.2567968846860458</v>
      </c>
      <c r="E15" s="967"/>
      <c r="F15" s="967"/>
      <c r="G15" s="967"/>
      <c r="H15" s="329"/>
      <c r="I15" s="327"/>
      <c r="J15" s="330"/>
      <c r="K15" s="327"/>
      <c r="L15" s="327"/>
      <c r="M15" s="326"/>
    </row>
    <row r="16" spans="2:13">
      <c r="B16" s="325">
        <f t="shared" si="0"/>
        <v>2001</v>
      </c>
      <c r="C16" s="331">
        <v>9.6486467023080298</v>
      </c>
      <c r="D16" s="967">
        <v>4.4561829444377086</v>
      </c>
      <c r="E16" s="967"/>
      <c r="F16" s="967"/>
      <c r="G16" s="967"/>
      <c r="H16" s="329"/>
      <c r="I16" s="327"/>
      <c r="J16" s="330"/>
      <c r="K16" s="327"/>
      <c r="L16" s="327"/>
      <c r="M16" s="326"/>
    </row>
    <row r="17" spans="2:13">
      <c r="B17" s="325">
        <f t="shared" si="0"/>
        <v>2002</v>
      </c>
      <c r="C17" s="331">
        <v>8.9401585347098429</v>
      </c>
      <c r="D17" s="967">
        <v>4.331042561499415</v>
      </c>
      <c r="E17" s="967"/>
      <c r="F17" s="967"/>
      <c r="G17" s="967"/>
      <c r="H17" s="329"/>
      <c r="I17" s="327"/>
      <c r="J17" s="330"/>
      <c r="K17" s="327"/>
      <c r="L17" s="327"/>
      <c r="M17" s="326"/>
    </row>
    <row r="18" spans="2:13">
      <c r="B18" s="325">
        <f t="shared" si="0"/>
        <v>2003</v>
      </c>
      <c r="C18" s="331">
        <v>9.4588272299579721</v>
      </c>
      <c r="D18" s="967">
        <v>4.3832257927444624</v>
      </c>
      <c r="E18" s="967"/>
      <c r="F18" s="967"/>
      <c r="G18" s="967"/>
      <c r="H18" s="329"/>
      <c r="I18" s="327"/>
      <c r="J18" s="330"/>
      <c r="K18" s="327"/>
      <c r="L18" s="327"/>
      <c r="M18" s="326"/>
    </row>
    <row r="19" spans="2:13">
      <c r="B19" s="325">
        <f t="shared" si="0"/>
        <v>2004</v>
      </c>
      <c r="C19" s="331">
        <v>9.6246733816846248</v>
      </c>
      <c r="D19" s="967">
        <v>4.3605789060401294</v>
      </c>
      <c r="E19" s="967"/>
      <c r="F19" s="967"/>
      <c r="G19" s="967"/>
      <c r="H19" s="329"/>
      <c r="I19" s="327"/>
      <c r="J19" s="330"/>
      <c r="K19" s="327"/>
      <c r="L19" s="327"/>
      <c r="M19" s="326"/>
    </row>
    <row r="20" spans="2:13">
      <c r="B20" s="325">
        <f t="shared" si="0"/>
        <v>2005</v>
      </c>
      <c r="C20" s="331">
        <v>10.622770135550281</v>
      </c>
      <c r="D20" s="967">
        <v>4.5143626000000001</v>
      </c>
      <c r="E20" s="967"/>
      <c r="F20" s="967"/>
      <c r="G20" s="967"/>
      <c r="H20" s="329"/>
      <c r="I20" s="327"/>
      <c r="J20" s="330"/>
      <c r="K20" s="327"/>
      <c r="L20" s="327"/>
      <c r="M20" s="326"/>
    </row>
    <row r="21" spans="2:13">
      <c r="B21" s="325">
        <f t="shared" si="0"/>
        <v>2006</v>
      </c>
      <c r="C21" s="331">
        <v>11.48812098364985</v>
      </c>
      <c r="D21" s="967">
        <v>4.7813650938187173</v>
      </c>
      <c r="E21" s="967"/>
      <c r="F21" s="967"/>
      <c r="G21" s="967"/>
      <c r="H21" s="329"/>
      <c r="I21" s="327"/>
      <c r="J21" s="330"/>
      <c r="K21" s="327"/>
      <c r="L21" s="327"/>
      <c r="M21" s="326"/>
    </row>
    <row r="22" spans="2:13">
      <c r="B22" s="325">
        <f t="shared" si="0"/>
        <v>2007</v>
      </c>
      <c r="C22" s="331">
        <v>11.527237300278491</v>
      </c>
      <c r="D22" s="967">
        <v>4.766591073832454</v>
      </c>
      <c r="E22" s="967"/>
      <c r="F22" s="967"/>
      <c r="G22" s="967"/>
      <c r="H22" s="329"/>
      <c r="I22" s="327"/>
      <c r="J22" s="330"/>
      <c r="K22" s="327"/>
      <c r="L22" s="327"/>
      <c r="M22" s="326"/>
    </row>
    <row r="23" spans="2:13">
      <c r="B23" s="325">
        <f t="shared" si="0"/>
        <v>2008</v>
      </c>
      <c r="C23" s="331">
        <v>13.207478945777604</v>
      </c>
      <c r="D23" s="967">
        <v>4.9747716932824968</v>
      </c>
      <c r="E23" s="967"/>
      <c r="F23" s="967"/>
      <c r="G23" s="967"/>
      <c r="H23" s="329"/>
      <c r="I23" s="327"/>
      <c r="J23" s="330"/>
      <c r="K23" s="327"/>
      <c r="L23" s="327"/>
      <c r="M23" s="326"/>
    </row>
    <row r="24" spans="2:13">
      <c r="B24" s="325">
        <f t="shared" si="0"/>
        <v>2009</v>
      </c>
      <c r="C24" s="331">
        <v>11.058146935286631</v>
      </c>
      <c r="D24" s="967">
        <v>4.9632037109606388</v>
      </c>
      <c r="E24" s="967"/>
      <c r="F24" s="967"/>
      <c r="G24" s="967"/>
      <c r="H24" s="329"/>
      <c r="I24" s="327"/>
      <c r="J24" s="330"/>
      <c r="K24" s="327"/>
      <c r="L24" s="327"/>
      <c r="M24" s="326"/>
    </row>
    <row r="25" spans="2:13">
      <c r="B25" s="325">
        <f t="shared" si="0"/>
        <v>2010</v>
      </c>
      <c r="C25" s="331">
        <v>10.575270831648373</v>
      </c>
      <c r="D25" s="967">
        <v>4.9117230971601558</v>
      </c>
      <c r="E25" s="967"/>
      <c r="F25" s="967"/>
      <c r="G25" s="967"/>
      <c r="H25" s="332"/>
      <c r="I25" s="333"/>
      <c r="J25" s="334"/>
      <c r="K25" s="335"/>
      <c r="L25" s="335"/>
      <c r="M25" s="863"/>
    </row>
    <row r="26" spans="2:13">
      <c r="B26" s="325">
        <f t="shared" si="0"/>
        <v>2011</v>
      </c>
      <c r="C26" s="331">
        <v>9.7898945655695897</v>
      </c>
      <c r="D26" s="967">
        <v>4.8873546457776484</v>
      </c>
      <c r="E26" s="967"/>
      <c r="F26" s="967"/>
      <c r="G26" s="967"/>
      <c r="H26" s="332"/>
      <c r="I26" s="333"/>
      <c r="J26" s="334"/>
      <c r="K26" s="335"/>
      <c r="L26" s="335"/>
      <c r="M26" s="863"/>
    </row>
    <row r="27" spans="2:13">
      <c r="B27" s="325">
        <f t="shared" si="0"/>
        <v>2012</v>
      </c>
      <c r="C27" s="957">
        <v>9.0686455705028415</v>
      </c>
      <c r="D27" s="968">
        <v>4.7826141114982583</v>
      </c>
      <c r="E27" s="968"/>
      <c r="F27" s="968"/>
      <c r="G27" s="968"/>
      <c r="H27" s="332"/>
      <c r="I27" s="333"/>
      <c r="J27" s="334"/>
      <c r="K27" s="335"/>
      <c r="L27" s="335"/>
      <c r="M27" s="863"/>
    </row>
    <row r="28" spans="2:13">
      <c r="B28" s="325">
        <f t="shared" si="0"/>
        <v>2013</v>
      </c>
      <c r="C28" s="331"/>
      <c r="D28" s="967"/>
      <c r="E28" s="967">
        <v>4.7933448573898012</v>
      </c>
      <c r="F28" s="967">
        <v>4.8892117545375973</v>
      </c>
      <c r="G28" s="967">
        <v>4.7343048780487811</v>
      </c>
      <c r="H28" s="332">
        <f>$C$27*(E28/D27)</f>
        <v>9.0889928803482185</v>
      </c>
      <c r="I28" s="333">
        <f>$C$27*(F28/D27)</f>
        <v>9.2707727379551841</v>
      </c>
      <c r="J28" s="334">
        <f>$C$27*(G28/D27)</f>
        <v>8.9770430899927121</v>
      </c>
      <c r="K28" s="335">
        <f>H28/$C27-1</f>
        <v>2.2436988729122032E-3</v>
      </c>
      <c r="L28" s="335">
        <f>I28/$C27-1</f>
        <v>2.2288572850370558E-2</v>
      </c>
      <c r="M28" s="863">
        <f>J28/$C27-1</f>
        <v>-1.0101010101010055E-2</v>
      </c>
    </row>
    <row r="29" spans="2:13">
      <c r="B29" s="325">
        <f t="shared" si="0"/>
        <v>2014</v>
      </c>
      <c r="C29" s="336"/>
      <c r="D29" s="967"/>
      <c r="E29" s="967">
        <v>4.8143131914893615</v>
      </c>
      <c r="F29" s="967">
        <v>4.9087114893617025</v>
      </c>
      <c r="G29" s="967">
        <v>4.6974779602420051</v>
      </c>
      <c r="H29" s="332">
        <f t="shared" ref="H29:H42" si="1">H28*(E29/E28)</f>
        <v>9.1287523896290601</v>
      </c>
      <c r="I29" s="333">
        <f t="shared" ref="I29:I42" si="2">I28*(F29/F28)</f>
        <v>9.3077475345237488</v>
      </c>
      <c r="J29" s="334">
        <f t="shared" ref="J29:J42" si="3">J28*(G29/G28)</f>
        <v>8.9072130227412547</v>
      </c>
      <c r="K29" s="335">
        <f t="shared" ref="K29:M30" si="4">H29/H28-1</f>
        <v>4.3744680851063311E-3</v>
      </c>
      <c r="L29" s="335">
        <f t="shared" si="4"/>
        <v>3.9883187317479862E-3</v>
      </c>
      <c r="M29" s="863">
        <f t="shared" si="4"/>
        <v>-7.7787381158169744E-3</v>
      </c>
    </row>
    <row r="30" spans="2:13">
      <c r="B30" s="325">
        <f t="shared" si="0"/>
        <v>2015</v>
      </c>
      <c r="C30" s="336"/>
      <c r="D30" s="967"/>
      <c r="E30" s="967">
        <v>4.8225217391304351</v>
      </c>
      <c r="F30" s="967">
        <v>4.9152625418060198</v>
      </c>
      <c r="G30" s="967">
        <v>4.6727157446808514</v>
      </c>
      <c r="H30" s="332">
        <f t="shared" si="1"/>
        <v>9.1443171848372948</v>
      </c>
      <c r="I30" s="333">
        <f t="shared" si="2"/>
        <v>9.3201694383918561</v>
      </c>
      <c r="J30" s="334">
        <f t="shared" si="3"/>
        <v>8.8602596722870306</v>
      </c>
      <c r="K30" s="335">
        <f t="shared" si="4"/>
        <v>1.7050298380223428E-3</v>
      </c>
      <c r="L30" s="335">
        <f t="shared" si="4"/>
        <v>1.3345767944428211E-3</v>
      </c>
      <c r="M30" s="863">
        <f t="shared" si="4"/>
        <v>-5.2713851498045194E-3</v>
      </c>
    </row>
    <row r="31" spans="2:13">
      <c r="B31" s="325">
        <f t="shared" si="0"/>
        <v>2016</v>
      </c>
      <c r="C31" s="336"/>
      <c r="D31" s="967"/>
      <c r="E31" s="967">
        <v>4.8304470008216924</v>
      </c>
      <c r="F31" s="967">
        <v>4.9215875102711593</v>
      </c>
      <c r="G31" s="967">
        <v>4.7297809364548495</v>
      </c>
      <c r="H31" s="332">
        <f t="shared" si="1"/>
        <v>9.1593448219528852</v>
      </c>
      <c r="I31" s="333">
        <f t="shared" si="2"/>
        <v>9.3321626487821856</v>
      </c>
      <c r="J31" s="334">
        <f t="shared" si="3"/>
        <v>8.9684649312827318</v>
      </c>
      <c r="K31" s="335">
        <f>H31/H30-1</f>
        <v>1.6433853738699877E-3</v>
      </c>
      <c r="L31" s="335">
        <f t="shared" ref="L31:L41" si="5">I31/I30-1</f>
        <v>1.2868017550118349E-3</v>
      </c>
      <c r="M31" s="863">
        <f t="shared" ref="M31:M41" si="6">J31/J30-1</f>
        <v>1.2212425255903492E-2</v>
      </c>
    </row>
    <row r="32" spans="2:13">
      <c r="B32" s="325">
        <f t="shared" si="0"/>
        <v>2017</v>
      </c>
      <c r="C32" s="336"/>
      <c r="D32" s="967"/>
      <c r="E32" s="967">
        <v>4.8341985472154967</v>
      </c>
      <c r="F32" s="967">
        <v>4.8789596448748993</v>
      </c>
      <c r="G32" s="967">
        <v>4.7393064913722274</v>
      </c>
      <c r="H32" s="332">
        <f t="shared" si="1"/>
        <v>9.1664583886746733</v>
      </c>
      <c r="I32" s="333">
        <f t="shared" si="2"/>
        <v>9.2513330033846231</v>
      </c>
      <c r="J32" s="334">
        <f t="shared" si="3"/>
        <v>8.9865269951235884</v>
      </c>
      <c r="K32" s="335">
        <f t="shared" ref="K32:K41" si="7">H32/H31-1</f>
        <v>7.76645803828524E-4</v>
      </c>
      <c r="L32" s="335">
        <f>I32/I31-1</f>
        <v>-8.6614055540610302E-3</v>
      </c>
      <c r="M32" s="863">
        <f t="shared" si="6"/>
        <v>2.0139526640567951E-3</v>
      </c>
    </row>
    <row r="33" spans="2:13">
      <c r="B33" s="325">
        <f t="shared" si="0"/>
        <v>2018</v>
      </c>
      <c r="C33" s="336"/>
      <c r="D33" s="967"/>
      <c r="E33" s="967">
        <v>4.7938390166534504</v>
      </c>
      <c r="F33" s="967">
        <v>4.8378191911181609</v>
      </c>
      <c r="G33" s="967">
        <v>4.7446763518966906</v>
      </c>
      <c r="H33" s="332">
        <f t="shared" si="1"/>
        <v>9.0899298899235124</v>
      </c>
      <c r="I33" s="333">
        <f t="shared" si="2"/>
        <v>9.1733237421246461</v>
      </c>
      <c r="J33" s="334">
        <f t="shared" si="3"/>
        <v>8.9967091592547721</v>
      </c>
      <c r="K33" s="335">
        <f t="shared" si="7"/>
        <v>-8.3487531941139892E-3</v>
      </c>
      <c r="L33" s="335">
        <f>I33/I32-1</f>
        <v>-8.4322184955872848E-3</v>
      </c>
      <c r="M33" s="863">
        <f t="shared" si="6"/>
        <v>1.1330477432169861E-3</v>
      </c>
    </row>
    <row r="34" spans="2:13">
      <c r="B34" s="325">
        <f t="shared" si="0"/>
        <v>2019</v>
      </c>
      <c r="C34" s="336"/>
      <c r="D34" s="967"/>
      <c r="E34" s="967">
        <v>4.7585725429017156</v>
      </c>
      <c r="F34" s="967">
        <v>4.8018322932917314</v>
      </c>
      <c r="G34" s="967">
        <v>4.7058786677240292</v>
      </c>
      <c r="H34" s="332">
        <f t="shared" si="1"/>
        <v>9.0230586886265005</v>
      </c>
      <c r="I34" s="333">
        <f t="shared" si="2"/>
        <v>9.1050864948867432</v>
      </c>
      <c r="J34" s="334">
        <f t="shared" si="3"/>
        <v>8.9231421855212485</v>
      </c>
      <c r="K34" s="335">
        <f t="shared" si="7"/>
        <v>-7.3566245402113539E-3</v>
      </c>
      <c r="L34" s="335">
        <f t="shared" si="5"/>
        <v>-7.4386611828112237E-3</v>
      </c>
      <c r="M34" s="863">
        <f t="shared" si="6"/>
        <v>-8.1770981401401155E-3</v>
      </c>
    </row>
    <row r="35" spans="2:13">
      <c r="B35" s="325">
        <f t="shared" si="0"/>
        <v>2020</v>
      </c>
      <c r="C35" s="336"/>
      <c r="D35" s="967"/>
      <c r="E35" s="967">
        <v>4.8058796012269935</v>
      </c>
      <c r="F35" s="967">
        <v>4.8058796012269935</v>
      </c>
      <c r="G35" s="967">
        <v>4.7153127925117007</v>
      </c>
      <c r="H35" s="332">
        <f t="shared" si="1"/>
        <v>9.1127608755337892</v>
      </c>
      <c r="I35" s="333">
        <f t="shared" si="2"/>
        <v>9.1127608755337892</v>
      </c>
      <c r="J35" s="334">
        <f t="shared" si="3"/>
        <v>8.941030882366265</v>
      </c>
      <c r="K35" s="335">
        <f t="shared" si="7"/>
        <v>9.9414389291689886E-3</v>
      </c>
      <c r="L35" s="335">
        <f>I35/I34-1</f>
        <v>8.4286740728445331E-4</v>
      </c>
      <c r="M35" s="863">
        <f t="shared" si="6"/>
        <v>2.0047530873197328E-3</v>
      </c>
    </row>
    <row r="36" spans="2:13">
      <c r="B36" s="325">
        <f t="shared" si="0"/>
        <v>2021</v>
      </c>
      <c r="C36" s="336"/>
      <c r="D36" s="967"/>
      <c r="E36" s="967">
        <v>4.8061680482290887</v>
      </c>
      <c r="F36" s="967">
        <v>4.8061680482290887</v>
      </c>
      <c r="G36" s="967">
        <v>4.7208197852760732</v>
      </c>
      <c r="H36" s="332">
        <f t="shared" si="1"/>
        <v>9.1133078198547999</v>
      </c>
      <c r="I36" s="333">
        <f t="shared" si="2"/>
        <v>9.1133078198547999</v>
      </c>
      <c r="J36" s="334">
        <f t="shared" si="3"/>
        <v>8.9514730724269995</v>
      </c>
      <c r="K36" s="335">
        <f t="shared" si="7"/>
        <v>6.0019606404893011E-5</v>
      </c>
      <c r="L36" s="335">
        <f t="shared" si="5"/>
        <v>6.0019606404893011E-5</v>
      </c>
      <c r="M36" s="863">
        <f t="shared" si="6"/>
        <v>1.1678955366689614E-3</v>
      </c>
    </row>
    <row r="37" spans="2:13">
      <c r="B37" s="325">
        <f t="shared" si="0"/>
        <v>2022</v>
      </c>
      <c r="C37" s="336"/>
      <c r="D37" s="967"/>
      <c r="E37" s="967">
        <v>4.8100096367679761</v>
      </c>
      <c r="F37" s="967">
        <v>4.8511208302446258</v>
      </c>
      <c r="G37" s="967">
        <v>4.7643752825923142</v>
      </c>
      <c r="H37" s="332">
        <f t="shared" si="1"/>
        <v>9.1205921217187367</v>
      </c>
      <c r="I37" s="333">
        <f t="shared" si="2"/>
        <v>9.1985459005368462</v>
      </c>
      <c r="J37" s="334">
        <f t="shared" si="3"/>
        <v>9.0340616648995447</v>
      </c>
      <c r="K37" s="335">
        <f t="shared" si="7"/>
        <v>7.9930383214610323E-4</v>
      </c>
      <c r="L37" s="335">
        <f t="shared" si="5"/>
        <v>9.3531440358396445E-3</v>
      </c>
      <c r="M37" s="863">
        <f t="shared" si="6"/>
        <v>9.2262571539136751E-3</v>
      </c>
    </row>
    <row r="38" spans="2:13">
      <c r="B38" s="325">
        <f t="shared" si="0"/>
        <v>2023</v>
      </c>
      <c r="C38" s="336"/>
      <c r="D38" s="967"/>
      <c r="E38" s="967">
        <v>4.8471085214857981</v>
      </c>
      <c r="F38" s="967">
        <v>4.8875010924981792</v>
      </c>
      <c r="G38" s="967">
        <v>4.7688984432913264</v>
      </c>
      <c r="H38" s="332">
        <f t="shared" si="1"/>
        <v>9.1909378842501557</v>
      </c>
      <c r="I38" s="333">
        <f t="shared" si="2"/>
        <v>9.2675290332855731</v>
      </c>
      <c r="J38" s="334">
        <f t="shared" si="3"/>
        <v>9.0426383429006307</v>
      </c>
      <c r="K38" s="335">
        <f t="shared" si="7"/>
        <v>7.7128503931127579E-3</v>
      </c>
      <c r="L38" s="335">
        <f t="shared" si="5"/>
        <v>7.4993519078598858E-3</v>
      </c>
      <c r="M38" s="863">
        <f t="shared" si="6"/>
        <v>9.4937120414062548E-4</v>
      </c>
    </row>
    <row r="39" spans="2:13">
      <c r="B39" s="325">
        <f t="shared" si="0"/>
        <v>2024</v>
      </c>
      <c r="C39" s="336"/>
      <c r="D39" s="967"/>
      <c r="E39" s="967">
        <v>4.8794399141630906</v>
      </c>
      <c r="F39" s="967">
        <v>4.8794399141630906</v>
      </c>
      <c r="G39" s="967">
        <v>4.806715950473416</v>
      </c>
      <c r="H39" s="332">
        <f t="shared" si="1"/>
        <v>9.252243675216274</v>
      </c>
      <c r="I39" s="333">
        <f t="shared" si="2"/>
        <v>9.252243675216274</v>
      </c>
      <c r="J39" s="334">
        <f t="shared" si="3"/>
        <v>9.1143467352147418</v>
      </c>
      <c r="K39" s="335">
        <f t="shared" si="7"/>
        <v>6.6702432045779858E-3</v>
      </c>
      <c r="L39" s="335">
        <f t="shared" si="5"/>
        <v>-1.6493455822366165E-3</v>
      </c>
      <c r="M39" s="863">
        <f t="shared" si="6"/>
        <v>7.9300298867319707E-3</v>
      </c>
    </row>
    <row r="40" spans="2:13">
      <c r="B40" s="325">
        <f t="shared" si="0"/>
        <v>2025</v>
      </c>
      <c r="C40" s="336"/>
      <c r="D40" s="967"/>
      <c r="E40" s="967">
        <v>4.8682408707865177</v>
      </c>
      <c r="F40" s="967">
        <v>4.9071867977528099</v>
      </c>
      <c r="G40" s="967">
        <v>4.8000994277539339</v>
      </c>
      <c r="H40" s="332">
        <f t="shared" si="1"/>
        <v>9.2310083941036591</v>
      </c>
      <c r="I40" s="333">
        <f t="shared" si="2"/>
        <v>9.3048564612564864</v>
      </c>
      <c r="J40" s="334">
        <f t="shared" si="3"/>
        <v>9.1018006886273941</v>
      </c>
      <c r="K40" s="335">
        <f t="shared" si="7"/>
        <v>-2.2951493559878466E-3</v>
      </c>
      <c r="L40" s="335">
        <f t="shared" si="5"/>
        <v>5.6864894491641671E-3</v>
      </c>
      <c r="M40" s="863">
        <f t="shared" si="6"/>
        <v>-1.3765162717448431E-3</v>
      </c>
    </row>
    <row r="41" spans="2:13" ht="12" customHeight="1">
      <c r="B41" s="325">
        <f t="shared" si="0"/>
        <v>2026</v>
      </c>
      <c r="C41" s="336"/>
      <c r="D41" s="967"/>
      <c r="E41" s="967">
        <v>4.8507527548209364</v>
      </c>
      <c r="F41" s="967">
        <v>4.8889476584022038</v>
      </c>
      <c r="G41" s="967">
        <v>4.8292949438202255</v>
      </c>
      <c r="H41" s="332">
        <f t="shared" si="1"/>
        <v>9.1978479672554165</v>
      </c>
      <c r="I41" s="333">
        <f t="shared" si="2"/>
        <v>9.2702719669975835</v>
      </c>
      <c r="J41" s="334">
        <f t="shared" si="3"/>
        <v>9.1571603269508337</v>
      </c>
      <c r="K41" s="335">
        <f t="shared" si="7"/>
        <v>-3.5922865013776617E-3</v>
      </c>
      <c r="L41" s="335">
        <f t="shared" si="5"/>
        <v>-3.7168218986403101E-3</v>
      </c>
      <c r="M41" s="863">
        <f t="shared" si="6"/>
        <v>6.0822731915686212E-3</v>
      </c>
    </row>
    <row r="42" spans="2:13">
      <c r="B42" s="325">
        <f t="shared" si="0"/>
        <v>2027</v>
      </c>
      <c r="C42" s="336"/>
      <c r="D42" s="967"/>
      <c r="E42" s="967">
        <v>4.8648245614035091</v>
      </c>
      <c r="F42" s="967">
        <v>4.9022462887989207</v>
      </c>
      <c r="G42" s="967">
        <v>4.8125578512396689</v>
      </c>
      <c r="H42" s="332">
        <f t="shared" si="1"/>
        <v>9.224530493476216</v>
      </c>
      <c r="I42" s="333">
        <f t="shared" si="2"/>
        <v>9.295488420349109</v>
      </c>
      <c r="J42" s="334">
        <f t="shared" si="3"/>
        <v>9.1254239675132514</v>
      </c>
      <c r="K42" s="335">
        <f>H42/H41-1</f>
        <v>2.9009531703274583E-3</v>
      </c>
      <c r="L42" s="335">
        <f>I42/I41-1</f>
        <v>2.720141700405021E-3</v>
      </c>
      <c r="M42" s="863">
        <f>J42/J41-1</f>
        <v>-3.4657424686753702E-3</v>
      </c>
    </row>
    <row r="43" spans="2:13" ht="13.5" thickBot="1">
      <c r="B43" s="961"/>
      <c r="C43" s="962"/>
      <c r="D43" s="962"/>
      <c r="E43" s="962"/>
      <c r="F43" s="962"/>
      <c r="G43" s="962"/>
      <c r="H43" s="963"/>
      <c r="I43" s="963"/>
      <c r="J43" s="963"/>
      <c r="K43" s="964"/>
      <c r="L43" s="964"/>
      <c r="M43" s="965"/>
    </row>
    <row r="47" spans="2:13" ht="13.5" thickBot="1"/>
    <row r="48" spans="2:13">
      <c r="D48" s="1394" t="s">
        <v>560</v>
      </c>
      <c r="E48" s="1395"/>
    </row>
    <row r="49" spans="2:27" ht="13.5" thickBot="1">
      <c r="D49" s="1396"/>
      <c r="E49" s="1397"/>
    </row>
    <row r="50" spans="2:27" ht="13.5" thickBot="1"/>
    <row r="51" spans="2:27" ht="5.25" customHeight="1" thickTop="1">
      <c r="B51" s="1383" t="s">
        <v>338</v>
      </c>
      <c r="C51" s="1389" t="s">
        <v>561</v>
      </c>
      <c r="D51" s="1389" t="s">
        <v>563</v>
      </c>
      <c r="E51" s="321"/>
      <c r="F51" s="322"/>
      <c r="G51" s="323"/>
      <c r="H51" s="321"/>
      <c r="I51" s="322"/>
      <c r="J51" s="323"/>
      <c r="K51" s="322"/>
      <c r="L51" s="322"/>
      <c r="M51" s="324"/>
    </row>
    <row r="52" spans="2:27" ht="24.75" customHeight="1">
      <c r="B52" s="1384"/>
      <c r="C52" s="1390"/>
      <c r="D52" s="1392"/>
      <c r="E52" s="1386" t="s">
        <v>564</v>
      </c>
      <c r="F52" s="1387"/>
      <c r="G52" s="1388"/>
      <c r="H52" s="1386" t="s">
        <v>556</v>
      </c>
      <c r="I52" s="1387"/>
      <c r="J52" s="1388"/>
      <c r="K52" s="1415" t="s">
        <v>339</v>
      </c>
      <c r="L52" s="1415"/>
      <c r="M52" s="1416"/>
    </row>
    <row r="53" spans="2:27" ht="12.75" customHeight="1">
      <c r="B53" s="1384"/>
      <c r="C53" s="1390"/>
      <c r="D53" s="1392"/>
      <c r="E53" s="1404" t="s">
        <v>565</v>
      </c>
      <c r="F53" s="1405"/>
      <c r="G53" s="1406"/>
      <c r="H53" s="1417" t="s">
        <v>569</v>
      </c>
      <c r="I53" s="1418"/>
      <c r="J53" s="1419"/>
      <c r="K53" s="1411" t="s">
        <v>340</v>
      </c>
      <c r="L53" s="1411"/>
      <c r="M53" s="1412"/>
    </row>
    <row r="54" spans="2:27" ht="14.25" customHeight="1">
      <c r="B54" s="1384"/>
      <c r="C54" s="1390"/>
      <c r="D54" s="1392"/>
      <c r="E54" s="1407" t="s">
        <v>341</v>
      </c>
      <c r="F54" s="1409" t="s">
        <v>342</v>
      </c>
      <c r="G54" s="1409" t="s">
        <v>343</v>
      </c>
      <c r="H54" s="1407" t="s">
        <v>341</v>
      </c>
      <c r="I54" s="1409" t="s">
        <v>342</v>
      </c>
      <c r="J54" s="1409" t="s">
        <v>343</v>
      </c>
      <c r="K54" s="1407" t="s">
        <v>341</v>
      </c>
      <c r="L54" s="1409" t="s">
        <v>342</v>
      </c>
      <c r="M54" s="1413" t="s">
        <v>343</v>
      </c>
    </row>
    <row r="55" spans="2:27" ht="28.5" customHeight="1" thickBot="1">
      <c r="B55" s="1385"/>
      <c r="C55" s="1391"/>
      <c r="D55" s="1393"/>
      <c r="E55" s="1408"/>
      <c r="F55" s="1410"/>
      <c r="G55" s="1410"/>
      <c r="H55" s="1408"/>
      <c r="I55" s="1410"/>
      <c r="J55" s="1410"/>
      <c r="K55" s="1408"/>
      <c r="L55" s="1410"/>
      <c r="M55" s="1414"/>
      <c r="Z55" s="1503" t="str">
        <f>C10</f>
        <v>PRETOT</v>
      </c>
      <c r="AA55" s="1504" t="str">
        <f>D56</f>
        <v>OIL PRICES USA</v>
      </c>
    </row>
    <row r="56" spans="2:27" ht="15" hidden="1" customHeight="1">
      <c r="B56" s="971"/>
      <c r="C56" s="975" t="s">
        <v>505</v>
      </c>
      <c r="D56" s="975" t="s">
        <v>672</v>
      </c>
      <c r="E56" s="972" t="s">
        <v>566</v>
      </c>
      <c r="F56" s="973" t="s">
        <v>567</v>
      </c>
      <c r="G56" s="973" t="s">
        <v>568</v>
      </c>
      <c r="H56" s="972" t="s">
        <v>566</v>
      </c>
      <c r="I56" s="973" t="s">
        <v>567</v>
      </c>
      <c r="J56" s="973" t="s">
        <v>568</v>
      </c>
      <c r="K56" s="972" t="s">
        <v>566</v>
      </c>
      <c r="L56" s="973" t="s">
        <v>567</v>
      </c>
      <c r="M56" s="973" t="s">
        <v>568</v>
      </c>
    </row>
    <row r="57" spans="2:27" hidden="1">
      <c r="B57" s="325"/>
      <c r="C57" s="328"/>
      <c r="D57" s="329"/>
      <c r="E57" s="329"/>
      <c r="F57" s="329"/>
      <c r="G57" s="329"/>
      <c r="H57" s="329"/>
      <c r="I57" s="327"/>
      <c r="J57" s="330"/>
      <c r="K57" s="327"/>
      <c r="L57" s="327"/>
      <c r="M57" s="326"/>
    </row>
    <row r="58" spans="2:27">
      <c r="B58" s="325"/>
      <c r="C58" s="328"/>
      <c r="D58" s="329"/>
      <c r="E58" s="329"/>
      <c r="F58" s="329"/>
      <c r="G58" s="329"/>
      <c r="H58" s="329"/>
      <c r="I58" s="327"/>
      <c r="J58" s="330"/>
      <c r="K58" s="327"/>
      <c r="L58" s="327"/>
      <c r="M58" s="326"/>
    </row>
    <row r="59" spans="2:27">
      <c r="B59" s="325">
        <v>1998</v>
      </c>
      <c r="C59" s="331">
        <v>9.4774783801196083</v>
      </c>
      <c r="D59" s="332">
        <v>9.4092119803413041</v>
      </c>
      <c r="E59" s="332"/>
      <c r="F59" s="332"/>
      <c r="G59" s="332"/>
      <c r="H59" s="329"/>
      <c r="I59" s="327"/>
      <c r="J59" s="330"/>
      <c r="K59" s="327"/>
      <c r="L59" s="327"/>
      <c r="M59" s="326"/>
      <c r="Y59">
        <f>B59</f>
        <v>1998</v>
      </c>
    </row>
    <row r="60" spans="2:27">
      <c r="B60" s="325">
        <f>B59+1</f>
        <v>1999</v>
      </c>
      <c r="C60" s="331">
        <v>8.5173837753665786</v>
      </c>
      <c r="D60" s="332">
        <v>12.362350410138163</v>
      </c>
      <c r="E60" s="332"/>
      <c r="F60" s="332"/>
      <c r="G60" s="332"/>
      <c r="H60" s="329"/>
      <c r="I60" s="327"/>
      <c r="J60" s="330"/>
      <c r="K60" s="327"/>
      <c r="L60" s="327"/>
      <c r="M60" s="326"/>
      <c r="Y60">
        <f t="shared" ref="Y60:Y88" si="8">B60</f>
        <v>1999</v>
      </c>
      <c r="Z60" s="27">
        <f>D14/D13-1</f>
        <v>-2.910794644142789E-2</v>
      </c>
      <c r="AA60" s="27">
        <f>D60/D59-1</f>
        <v>0.31385608443798052</v>
      </c>
    </row>
    <row r="61" spans="2:27">
      <c r="B61" s="325">
        <f t="shared" ref="B61:B88" si="9">B60+1</f>
        <v>2000</v>
      </c>
      <c r="C61" s="331">
        <v>9.3479942810496812</v>
      </c>
      <c r="D61" s="332">
        <v>19.036001061998469</v>
      </c>
      <c r="E61" s="332"/>
      <c r="F61" s="332"/>
      <c r="G61" s="332"/>
      <c r="H61" s="329"/>
      <c r="I61" s="327"/>
      <c r="J61" s="330"/>
      <c r="K61" s="327"/>
      <c r="L61" s="327"/>
      <c r="M61" s="326"/>
      <c r="Y61">
        <f t="shared" si="8"/>
        <v>2000</v>
      </c>
      <c r="Z61" s="27">
        <f t="shared" ref="Z61:Z72" si="10">D15/D14-1</f>
        <v>3.8588016391616353E-3</v>
      </c>
      <c r="AA61" s="27">
        <f t="shared" ref="AA61:AA69" si="11">D61/D60-1</f>
        <v>0.53983671635673369</v>
      </c>
    </row>
    <row r="62" spans="2:27">
      <c r="B62" s="325">
        <f t="shared" si="9"/>
        <v>2001</v>
      </c>
      <c r="C62" s="331">
        <v>9.6486467023080298</v>
      </c>
      <c r="D62" s="332">
        <v>15.939398179520827</v>
      </c>
      <c r="E62" s="332"/>
      <c r="F62" s="332"/>
      <c r="G62" s="332"/>
      <c r="H62" s="329"/>
      <c r="I62" s="327"/>
      <c r="J62" s="330"/>
      <c r="K62" s="327"/>
      <c r="L62" s="327"/>
      <c r="M62" s="326"/>
      <c r="Y62">
        <f t="shared" si="8"/>
        <v>2001</v>
      </c>
      <c r="Z62" s="27">
        <f t="shared" si="10"/>
        <v>4.683945820129698E-2</v>
      </c>
      <c r="AA62" s="27">
        <f t="shared" si="11"/>
        <v>-0.16267087149198489</v>
      </c>
    </row>
    <row r="63" spans="2:27">
      <c r="B63" s="325">
        <f t="shared" si="9"/>
        <v>2002</v>
      </c>
      <c r="C63" s="331">
        <v>8.9401585347098429</v>
      </c>
      <c r="D63" s="332">
        <v>15.788638847695122</v>
      </c>
      <c r="E63" s="332"/>
      <c r="F63" s="332"/>
      <c r="G63" s="332"/>
      <c r="H63" s="329"/>
      <c r="I63" s="327"/>
      <c r="J63" s="330"/>
      <c r="K63" s="327"/>
      <c r="L63" s="327"/>
      <c r="M63" s="326"/>
      <c r="Y63">
        <f t="shared" si="8"/>
        <v>2002</v>
      </c>
      <c r="Z63" s="27">
        <f t="shared" si="10"/>
        <v>-2.8082415937275673E-2</v>
      </c>
      <c r="AA63" s="27">
        <f t="shared" si="11"/>
        <v>-9.4582825604672127E-3</v>
      </c>
    </row>
    <row r="64" spans="2:27">
      <c r="B64" s="325">
        <f t="shared" si="9"/>
        <v>2003</v>
      </c>
      <c r="C64" s="331">
        <v>9.4588272299579721</v>
      </c>
      <c r="D64" s="332">
        <v>18.418015423324224</v>
      </c>
      <c r="E64" s="332"/>
      <c r="F64" s="332"/>
      <c r="G64" s="332"/>
      <c r="H64" s="329"/>
      <c r="I64" s="327"/>
      <c r="J64" s="330"/>
      <c r="K64" s="327"/>
      <c r="L64" s="327"/>
      <c r="M64" s="326"/>
      <c r="Y64">
        <f t="shared" si="8"/>
        <v>2003</v>
      </c>
      <c r="Z64" s="27">
        <f t="shared" si="10"/>
        <v>1.2048653529505238E-2</v>
      </c>
      <c r="AA64" s="27">
        <f t="shared" si="11"/>
        <v>0.16653598837704409</v>
      </c>
    </row>
    <row r="65" spans="2:27">
      <c r="B65" s="325">
        <f t="shared" si="9"/>
        <v>2004</v>
      </c>
      <c r="C65" s="331">
        <v>9.6246733816846248</v>
      </c>
      <c r="D65" s="332">
        <v>23.85071397152706</v>
      </c>
      <c r="E65" s="332"/>
      <c r="F65" s="332"/>
      <c r="G65" s="332"/>
      <c r="H65" s="329"/>
      <c r="I65" s="327"/>
      <c r="J65" s="330"/>
      <c r="K65" s="327"/>
      <c r="L65" s="327"/>
      <c r="M65" s="326"/>
      <c r="Y65">
        <f t="shared" si="8"/>
        <v>2004</v>
      </c>
      <c r="Z65" s="27">
        <f t="shared" si="10"/>
        <v>-5.1667168827624899E-3</v>
      </c>
      <c r="AA65" s="27">
        <f t="shared" si="11"/>
        <v>0.29496655439450725</v>
      </c>
    </row>
    <row r="66" spans="2:27">
      <c r="B66" s="325">
        <f t="shared" si="9"/>
        <v>2005</v>
      </c>
      <c r="C66" s="331">
        <v>10.622770135550281</v>
      </c>
      <c r="D66" s="332">
        <v>31.461561529231791</v>
      </c>
      <c r="E66" s="332"/>
      <c r="F66" s="332"/>
      <c r="G66" s="332"/>
      <c r="H66" s="329"/>
      <c r="I66" s="327"/>
      <c r="J66" s="330"/>
      <c r="K66" s="327"/>
      <c r="L66" s="327"/>
      <c r="M66" s="326"/>
      <c r="Y66">
        <f t="shared" si="8"/>
        <v>2005</v>
      </c>
      <c r="Z66" s="27">
        <f t="shared" si="10"/>
        <v>3.5266806833114339E-2</v>
      </c>
      <c r="AA66" s="27">
        <f t="shared" si="11"/>
        <v>0.31910355248864031</v>
      </c>
    </row>
    <row r="67" spans="2:27">
      <c r="B67" s="325">
        <f t="shared" si="9"/>
        <v>2006</v>
      </c>
      <c r="C67" s="331">
        <v>11.48812098364985</v>
      </c>
      <c r="D67" s="332">
        <v>35.605021028641687</v>
      </c>
      <c r="E67" s="332"/>
      <c r="F67" s="332"/>
      <c r="G67" s="332"/>
      <c r="H67" s="329"/>
      <c r="I67" s="327"/>
      <c r="J67" s="330"/>
      <c r="K67" s="327"/>
      <c r="L67" s="327"/>
      <c r="M67" s="326"/>
      <c r="Y67">
        <f t="shared" si="8"/>
        <v>2006</v>
      </c>
      <c r="Z67" s="27">
        <f t="shared" si="10"/>
        <v>5.9145114709819202E-2</v>
      </c>
      <c r="AA67" s="27">
        <f t="shared" si="11"/>
        <v>0.13169910513056049</v>
      </c>
    </row>
    <row r="68" spans="2:27">
      <c r="B68" s="325">
        <f t="shared" si="9"/>
        <v>2007</v>
      </c>
      <c r="C68" s="331">
        <v>11.527237300278491</v>
      </c>
      <c r="D68" s="332">
        <v>37.562724786523312</v>
      </c>
      <c r="E68" s="332"/>
      <c r="F68" s="332"/>
      <c r="G68" s="332"/>
      <c r="H68" s="329"/>
      <c r="I68" s="327"/>
      <c r="J68" s="330"/>
      <c r="K68" s="327"/>
      <c r="L68" s="327"/>
      <c r="M68" s="326"/>
      <c r="Y68">
        <f t="shared" si="8"/>
        <v>2007</v>
      </c>
      <c r="Z68" s="27">
        <f t="shared" si="10"/>
        <v>-3.0899167280413753E-3</v>
      </c>
      <c r="AA68" s="27">
        <f t="shared" si="11"/>
        <v>5.4983923652419442E-2</v>
      </c>
    </row>
    <row r="69" spans="2:27">
      <c r="B69" s="325">
        <f t="shared" si="9"/>
        <v>2008</v>
      </c>
      <c r="C69" s="331">
        <v>13.207478945777604</v>
      </c>
      <c r="D69" s="332">
        <v>50.587616880548637</v>
      </c>
      <c r="E69" s="332"/>
      <c r="F69" s="332"/>
      <c r="G69" s="332"/>
      <c r="H69" s="329"/>
      <c r="I69" s="327"/>
      <c r="J69" s="330"/>
      <c r="K69" s="327"/>
      <c r="L69" s="327"/>
      <c r="M69" s="326"/>
      <c r="Y69">
        <f t="shared" si="8"/>
        <v>2008</v>
      </c>
      <c r="Z69" s="27">
        <f t="shared" si="10"/>
        <v>4.3674948453814144E-2</v>
      </c>
      <c r="AA69" s="27">
        <f t="shared" si="11"/>
        <v>0.34675045987873521</v>
      </c>
    </row>
    <row r="70" spans="2:27">
      <c r="B70" s="325">
        <f t="shared" si="9"/>
        <v>2009</v>
      </c>
      <c r="C70" s="331">
        <v>11.058146935286631</v>
      </c>
      <c r="D70" s="332">
        <v>31.499264685869125</v>
      </c>
      <c r="E70" s="332"/>
      <c r="F70" s="332"/>
      <c r="G70" s="332"/>
      <c r="H70" s="329"/>
      <c r="I70" s="327"/>
      <c r="J70" s="330"/>
      <c r="K70" s="327"/>
      <c r="L70" s="327"/>
      <c r="M70" s="326"/>
      <c r="Y70">
        <f t="shared" si="8"/>
        <v>2009</v>
      </c>
      <c r="Z70" s="27">
        <f t="shared" si="10"/>
        <v>-2.3253292884733989E-3</v>
      </c>
      <c r="AA70" s="27">
        <f t="shared" ref="AA70:AA80" si="12">D70/D69-1</f>
        <v>-0.37733250490436021</v>
      </c>
    </row>
    <row r="71" spans="2:27" ht="15.75" customHeight="1">
      <c r="B71" s="325">
        <f t="shared" si="9"/>
        <v>2010</v>
      </c>
      <c r="C71" s="331">
        <v>10.575270831648373</v>
      </c>
      <c r="D71" s="332">
        <v>39.671031415127395</v>
      </c>
      <c r="E71" s="332"/>
      <c r="F71" s="332"/>
      <c r="G71" s="332"/>
      <c r="H71" s="332"/>
      <c r="I71" s="333"/>
      <c r="J71" s="334"/>
      <c r="K71" s="335"/>
      <c r="L71" s="335"/>
      <c r="M71" s="863"/>
      <c r="Y71">
        <f t="shared" si="8"/>
        <v>2010</v>
      </c>
      <c r="Z71" s="27">
        <f t="shared" si="10"/>
        <v>-1.0372456340406622E-2</v>
      </c>
      <c r="AA71" s="27">
        <f t="shared" si="12"/>
        <v>0.25942722189715761</v>
      </c>
    </row>
    <row r="72" spans="2:27" ht="12.75" customHeight="1">
      <c r="B72" s="325">
        <f t="shared" si="9"/>
        <v>2011</v>
      </c>
      <c r="C72" s="331">
        <v>9.7898945655695897</v>
      </c>
      <c r="D72" s="332">
        <v>46.398713083213593</v>
      </c>
      <c r="E72" s="332"/>
      <c r="F72" s="332"/>
      <c r="G72" s="332"/>
      <c r="H72" s="332"/>
      <c r="I72" s="333"/>
      <c r="J72" s="334"/>
      <c r="K72" s="335"/>
      <c r="L72" s="335"/>
      <c r="M72" s="863"/>
      <c r="Y72">
        <f t="shared" si="8"/>
        <v>2011</v>
      </c>
      <c r="Z72" s="27">
        <f t="shared" si="10"/>
        <v>-4.961283627042512E-3</v>
      </c>
      <c r="AA72" s="27">
        <f t="shared" si="12"/>
        <v>0.16958675961020742</v>
      </c>
    </row>
    <row r="73" spans="2:27" ht="12.75" customHeight="1">
      <c r="B73" s="325">
        <f t="shared" si="9"/>
        <v>2012</v>
      </c>
      <c r="C73" s="957">
        <v>9.0686455705028415</v>
      </c>
      <c r="D73" s="959"/>
      <c r="E73" s="959">
        <v>47.33299196132478</v>
      </c>
      <c r="F73" s="959">
        <v>69.563064339159595</v>
      </c>
      <c r="G73" s="959">
        <v>35.200461177102852</v>
      </c>
      <c r="H73" s="332">
        <f>$C$72*(E73/D72)</f>
        <v>9.9870226991698345</v>
      </c>
      <c r="I73" s="333">
        <f>$C$72*(F73/D72)</f>
        <v>14.677455909540905</v>
      </c>
      <c r="J73" s="334">
        <f>$C$72*(G73/D72)</f>
        <v>7.427119863545034</v>
      </c>
      <c r="K73" s="335">
        <f>H73/C72-1</f>
        <v>2.0135879123104328E-2</v>
      </c>
      <c r="L73" s="335">
        <f>I73/C72-1</f>
        <v>0.49924555481532407</v>
      </c>
      <c r="M73" s="863">
        <f>J73/C72-1</f>
        <v>-0.24134832976999343</v>
      </c>
      <c r="Y73">
        <f t="shared" si="8"/>
        <v>2012</v>
      </c>
      <c r="Z73" s="27">
        <f>D27/D26-1</f>
        <v>-2.1430925699218339E-2</v>
      </c>
      <c r="AA73" s="27">
        <f>E73/D72-1</f>
        <v>2.0135879123104328E-2</v>
      </c>
    </row>
    <row r="74" spans="2:27" ht="12.75" customHeight="1">
      <c r="B74" s="325">
        <f t="shared" si="9"/>
        <v>2013</v>
      </c>
      <c r="C74" s="331"/>
      <c r="D74" s="332"/>
      <c r="E74" s="332">
        <v>51.818326554003519</v>
      </c>
      <c r="F74" s="332">
        <v>86.462076002594785</v>
      </c>
      <c r="G74" s="332">
        <v>29.835880208384388</v>
      </c>
      <c r="H74" s="332">
        <f>$H$73*(E74/E73)</f>
        <v>10.933405687742708</v>
      </c>
      <c r="I74" s="333">
        <f>$I$73*(F74/F73)</f>
        <v>18.243062182944531</v>
      </c>
      <c r="J74" s="334">
        <f>$J$73*(G74/G73)</f>
        <v>6.2952203218912492</v>
      </c>
      <c r="K74" s="335">
        <f>H74/H73-1</f>
        <v>9.4761273412499625E-2</v>
      </c>
      <c r="L74" s="335">
        <f>I74/I73-1</f>
        <v>0.24293081140075823</v>
      </c>
      <c r="M74" s="863">
        <f>J74/J73-1</f>
        <v>-0.15240087173085137</v>
      </c>
      <c r="Y74">
        <f t="shared" si="8"/>
        <v>2013</v>
      </c>
      <c r="Z74" s="27">
        <f>E28/D27-1</f>
        <v>2.2436988729122032E-3</v>
      </c>
      <c r="AA74" s="27">
        <f>E74/E73-1</f>
        <v>9.4761273412499625E-2</v>
      </c>
    </row>
    <row r="75" spans="2:27" ht="13.5" customHeight="1">
      <c r="B75" s="325">
        <f t="shared" si="9"/>
        <v>2014</v>
      </c>
      <c r="C75" s="336"/>
      <c r="D75" s="960"/>
      <c r="E75" s="332">
        <v>55.41067552016623</v>
      </c>
      <c r="F75" s="332">
        <v>89.379860874630609</v>
      </c>
      <c r="G75" s="332">
        <v>29.331083987990127</v>
      </c>
      <c r="H75" s="332">
        <f t="shared" ref="H75:H88" si="13">$H$73*(E75/E74)</f>
        <v>10.679381427331704</v>
      </c>
      <c r="I75" s="333">
        <f t="shared" ref="I75:I88" si="14">$I$73*(F75/F74)</f>
        <v>15.172767389357167</v>
      </c>
      <c r="J75" s="334">
        <f t="shared" ref="J75:J88" si="15">$J$73*(G75/G74)</f>
        <v>7.3014596849497639</v>
      </c>
      <c r="K75" s="335">
        <f t="shared" ref="K75:K88" si="16">H75/H74-1</f>
        <v>-2.3233772501077832E-2</v>
      </c>
      <c r="L75" s="335">
        <f t="shared" ref="L75:L88" si="17">I75/I74-1</f>
        <v>-0.168299310872151</v>
      </c>
      <c r="M75" s="863">
        <f t="shared" ref="M75:M88" si="18">J75/J74-1</f>
        <v>0.15984180244802193</v>
      </c>
      <c r="Y75">
        <f t="shared" si="8"/>
        <v>2014</v>
      </c>
      <c r="Z75" s="27">
        <f>E29/E28-1</f>
        <v>4.3744680851063311E-3</v>
      </c>
      <c r="AA75" s="27">
        <f t="shared" ref="AA75:AA88" si="19">E75/E74-1</f>
        <v>6.9325839043043347E-2</v>
      </c>
    </row>
    <row r="76" spans="2:27">
      <c r="B76" s="325">
        <f t="shared" si="9"/>
        <v>2015</v>
      </c>
      <c r="C76" s="336"/>
      <c r="D76" s="960"/>
      <c r="E76" s="332">
        <v>58.415178910651775</v>
      </c>
      <c r="F76" s="332">
        <v>90.987003654020114</v>
      </c>
      <c r="G76" s="332">
        <v>29.158892866936355</v>
      </c>
      <c r="H76" s="332">
        <f t="shared" si="13"/>
        <v>10.528543683688268</v>
      </c>
      <c r="I76" s="333">
        <f t="shared" si="14"/>
        <v>14.94137181916526</v>
      </c>
      <c r="J76" s="334">
        <f t="shared" si="15"/>
        <v>7.3835181986345866</v>
      </c>
      <c r="K76" s="335">
        <f t="shared" si="16"/>
        <v>-1.4124202292971511E-2</v>
      </c>
      <c r="L76" s="335">
        <f t="shared" si="17"/>
        <v>-1.5250716250630569E-2</v>
      </c>
      <c r="M76" s="863">
        <f t="shared" si="18"/>
        <v>1.1238645041616424E-2</v>
      </c>
      <c r="Y76">
        <f t="shared" si="8"/>
        <v>2015</v>
      </c>
      <c r="Z76" s="27">
        <f t="shared" ref="Z76:Z88" si="20">E30/E29-1</f>
        <v>1.7050298380223428E-3</v>
      </c>
      <c r="AA76" s="27">
        <f t="shared" si="19"/>
        <v>5.4222464575298002E-2</v>
      </c>
    </row>
    <row r="77" spans="2:27">
      <c r="B77" s="325">
        <f t="shared" si="9"/>
        <v>2016</v>
      </c>
      <c r="C77" s="336"/>
      <c r="D77" s="960"/>
      <c r="E77" s="332">
        <v>59.917644086515807</v>
      </c>
      <c r="F77" s="332">
        <v>92.071835897857497</v>
      </c>
      <c r="G77" s="332">
        <v>29.121842585384531</v>
      </c>
      <c r="H77" s="332">
        <f t="shared" si="13"/>
        <v>10.243893500490451</v>
      </c>
      <c r="I77" s="333">
        <f t="shared" si="14"/>
        <v>14.852454280612859</v>
      </c>
      <c r="J77" s="334">
        <f t="shared" si="15"/>
        <v>7.4176827123020415</v>
      </c>
      <c r="K77" s="335">
        <f t="shared" si="16"/>
        <v>-2.7036045226161876E-2</v>
      </c>
      <c r="L77" s="335">
        <f t="shared" si="17"/>
        <v>-5.9510960324504758E-3</v>
      </c>
      <c r="M77" s="863">
        <f t="shared" si="18"/>
        <v>4.6271320457735854E-3</v>
      </c>
      <c r="Y77">
        <f t="shared" si="8"/>
        <v>2016</v>
      </c>
      <c r="Z77" s="27">
        <f t="shared" si="20"/>
        <v>1.6433853738699877E-3</v>
      </c>
      <c r="AA77" s="27">
        <f t="shared" si="19"/>
        <v>2.5720458344604458E-2</v>
      </c>
    </row>
    <row r="78" spans="2:27">
      <c r="B78" s="325">
        <f t="shared" si="9"/>
        <v>2017</v>
      </c>
      <c r="C78" s="336"/>
      <c r="D78" s="960"/>
      <c r="E78" s="332">
        <v>61.402695343132507</v>
      </c>
      <c r="F78" s="332">
        <v>92.812781568896867</v>
      </c>
      <c r="G78" s="332">
        <v>29.117990655236412</v>
      </c>
      <c r="H78" s="332">
        <f t="shared" si="13"/>
        <v>10.234549797996461</v>
      </c>
      <c r="I78" s="333">
        <f t="shared" si="14"/>
        <v>14.795572348862375</v>
      </c>
      <c r="J78" s="334">
        <f t="shared" si="15"/>
        <v>7.4261374824737745</v>
      </c>
      <c r="K78" s="335">
        <f t="shared" si="16"/>
        <v>-9.1212413459218489E-4</v>
      </c>
      <c r="L78" s="335">
        <f t="shared" si="17"/>
        <v>-3.8298001579936125E-3</v>
      </c>
      <c r="M78" s="863">
        <f t="shared" si="18"/>
        <v>1.139812863350409E-3</v>
      </c>
      <c r="Y78">
        <f t="shared" si="8"/>
        <v>2017</v>
      </c>
      <c r="Z78" s="27">
        <f t="shared" si="20"/>
        <v>7.76645803828524E-4</v>
      </c>
      <c r="AA78" s="27">
        <f t="shared" si="19"/>
        <v>2.4784873959203368E-2</v>
      </c>
    </row>
    <row r="79" spans="2:27">
      <c r="B79" s="325">
        <f t="shared" si="9"/>
        <v>2018</v>
      </c>
      <c r="C79" s="336"/>
      <c r="D79" s="960"/>
      <c r="E79" s="332">
        <v>61.960146615359847</v>
      </c>
      <c r="F79" s="332">
        <v>93.628750187662192</v>
      </c>
      <c r="G79" s="332">
        <v>29.156821249035971</v>
      </c>
      <c r="H79" s="332">
        <f t="shared" si="13"/>
        <v>10.077691007430641</v>
      </c>
      <c r="I79" s="333">
        <f t="shared" si="14"/>
        <v>14.806493561716071</v>
      </c>
      <c r="J79" s="334">
        <f t="shared" si="15"/>
        <v>7.4370243750869429</v>
      </c>
      <c r="K79" s="335">
        <f t="shared" si="16"/>
        <v>-1.5326398685023501E-2</v>
      </c>
      <c r="L79" s="335">
        <f t="shared" si="17"/>
        <v>7.3814061370436335E-4</v>
      </c>
      <c r="M79" s="863">
        <f t="shared" si="18"/>
        <v>1.4660235740131533E-3</v>
      </c>
      <c r="Y79">
        <f t="shared" si="8"/>
        <v>2018</v>
      </c>
      <c r="Z79" s="27">
        <f t="shared" si="20"/>
        <v>-8.3487531941139892E-3</v>
      </c>
      <c r="AA79" s="27">
        <f t="shared" si="19"/>
        <v>9.0786124145230129E-3</v>
      </c>
    </row>
    <row r="80" spans="2:27">
      <c r="B80" s="325">
        <f t="shared" si="9"/>
        <v>2019</v>
      </c>
      <c r="C80" s="336"/>
      <c r="D80" s="960"/>
      <c r="E80" s="332">
        <v>62.570327601034805</v>
      </c>
      <c r="F80" s="332">
        <v>94.365464181904997</v>
      </c>
      <c r="G80" s="332">
        <v>29.185505611990052</v>
      </c>
      <c r="H80" s="332">
        <f t="shared" si="13"/>
        <v>10.085374489593566</v>
      </c>
      <c r="I80" s="333">
        <f t="shared" si="14"/>
        <v>14.792944871497225</v>
      </c>
      <c r="J80" s="334">
        <f t="shared" si="15"/>
        <v>7.434426634061948</v>
      </c>
      <c r="K80" s="335">
        <f t="shared" si="16"/>
        <v>7.6242486074029614E-4</v>
      </c>
      <c r="L80" s="335">
        <f t="shared" si="17"/>
        <v>-9.1505055956508929E-4</v>
      </c>
      <c r="M80" s="863">
        <f t="shared" si="18"/>
        <v>-3.4929844168551938E-4</v>
      </c>
      <c r="Y80">
        <f t="shared" si="8"/>
        <v>2019</v>
      </c>
      <c r="Z80" s="27">
        <f t="shared" si="20"/>
        <v>-7.3566245402112429E-3</v>
      </c>
      <c r="AA80" s="27">
        <f t="shared" si="19"/>
        <v>9.847959035069298E-3</v>
      </c>
    </row>
    <row r="81" spans="2:27">
      <c r="B81" s="325">
        <f t="shared" si="9"/>
        <v>2020</v>
      </c>
      <c r="C81" s="336"/>
      <c r="D81" s="960"/>
      <c r="E81" s="332">
        <v>63.295403094633301</v>
      </c>
      <c r="F81" s="332">
        <v>94.899600327888479</v>
      </c>
      <c r="G81" s="332">
        <v>29.235202955933755</v>
      </c>
      <c r="H81" s="332">
        <f t="shared" si="13"/>
        <v>10.102754000104563</v>
      </c>
      <c r="I81" s="333">
        <f t="shared" si="14"/>
        <v>14.760534605760235</v>
      </c>
      <c r="J81" s="334">
        <f t="shared" si="15"/>
        <v>7.4397668306826557</v>
      </c>
      <c r="K81" s="335">
        <f t="shared" si="16"/>
        <v>1.7232389862100739E-3</v>
      </c>
      <c r="L81" s="335">
        <f t="shared" si="17"/>
        <v>-2.1909272304149185E-3</v>
      </c>
      <c r="M81" s="863">
        <f t="shared" si="18"/>
        <v>7.1830645234172152E-4</v>
      </c>
      <c r="Y81">
        <f t="shared" si="8"/>
        <v>2020</v>
      </c>
      <c r="Z81" s="27">
        <f t="shared" si="20"/>
        <v>9.9414389291689886E-3</v>
      </c>
      <c r="AA81" s="27">
        <f t="shared" si="19"/>
        <v>1.1588168408223298E-2</v>
      </c>
    </row>
    <row r="82" spans="2:27">
      <c r="B82" s="325">
        <f t="shared" si="9"/>
        <v>2021</v>
      </c>
      <c r="C82" s="336"/>
      <c r="D82" s="960"/>
      <c r="E82" s="332">
        <v>63.951875065732999</v>
      </c>
      <c r="F82" s="332">
        <v>95.4546040518686</v>
      </c>
      <c r="G82" s="332">
        <v>29.358342802012757</v>
      </c>
      <c r="H82" s="332">
        <f t="shared" si="13"/>
        <v>10.09060368856553</v>
      </c>
      <c r="I82" s="333">
        <f t="shared" si="14"/>
        <v>14.763294444795045</v>
      </c>
      <c r="J82" s="334">
        <f t="shared" si="15"/>
        <v>7.4584031899575702</v>
      </c>
      <c r="K82" s="335">
        <f t="shared" si="16"/>
        <v>-1.2026732056334977E-3</v>
      </c>
      <c r="L82" s="335">
        <f t="shared" si="17"/>
        <v>1.8697419223112632E-4</v>
      </c>
      <c r="M82" s="863">
        <f t="shared" si="18"/>
        <v>2.5049655048401398E-3</v>
      </c>
      <c r="Y82">
        <f t="shared" si="8"/>
        <v>2021</v>
      </c>
      <c r="Z82" s="27">
        <f t="shared" si="20"/>
        <v>6.0019606404893011E-5</v>
      </c>
      <c r="AA82" s="27">
        <f t="shared" si="19"/>
        <v>1.0371558422942684E-2</v>
      </c>
    </row>
    <row r="83" spans="2:27">
      <c r="B83" s="325">
        <f t="shared" si="9"/>
        <v>2022</v>
      </c>
      <c r="C83" s="336"/>
      <c r="D83" s="960"/>
      <c r="E83" s="332">
        <v>64.666833102746054</v>
      </c>
      <c r="F83" s="332">
        <v>95.891103337213494</v>
      </c>
      <c r="G83" s="332">
        <v>29.522549749783764</v>
      </c>
      <c r="H83" s="332">
        <f t="shared" si="13"/>
        <v>10.098673876516301</v>
      </c>
      <c r="I83" s="333">
        <f t="shared" si="14"/>
        <v>14.744573667545691</v>
      </c>
      <c r="J83" s="334">
        <f t="shared" si="15"/>
        <v>7.4686611961654341</v>
      </c>
      <c r="K83" s="335">
        <f t="shared" si="16"/>
        <v>7.9977256067609304E-4</v>
      </c>
      <c r="L83" s="335">
        <f t="shared" si="17"/>
        <v>-1.268062309490503E-3</v>
      </c>
      <c r="M83" s="863">
        <f t="shared" si="18"/>
        <v>1.3753622520267239E-3</v>
      </c>
      <c r="Y83">
        <f t="shared" si="8"/>
        <v>2022</v>
      </c>
      <c r="Z83" s="27">
        <f t="shared" si="20"/>
        <v>7.9930383214610323E-4</v>
      </c>
      <c r="AA83" s="27">
        <f t="shared" si="19"/>
        <v>1.1179625871456933E-2</v>
      </c>
    </row>
    <row r="84" spans="2:27">
      <c r="B84" s="325">
        <f t="shared" si="9"/>
        <v>2023</v>
      </c>
      <c r="C84" s="336"/>
      <c r="D84" s="960"/>
      <c r="E84" s="332">
        <v>65.196486148364059</v>
      </c>
      <c r="F84" s="332">
        <v>96.170656330771592</v>
      </c>
      <c r="G84" s="332">
        <v>29.675170927111864</v>
      </c>
      <c r="H84" s="332">
        <f t="shared" si="13"/>
        <v>10.068821308062077</v>
      </c>
      <c r="I84" s="333">
        <f t="shared" si="14"/>
        <v>14.720245350839749</v>
      </c>
      <c r="J84" s="334">
        <f t="shared" si="15"/>
        <v>7.4655154556378029</v>
      </c>
      <c r="K84" s="335">
        <f t="shared" si="16"/>
        <v>-2.9560879793973927E-3</v>
      </c>
      <c r="L84" s="335">
        <f t="shared" si="17"/>
        <v>-1.6499844115188678E-3</v>
      </c>
      <c r="M84" s="863">
        <f t="shared" si="18"/>
        <v>-4.2119202424739655E-4</v>
      </c>
      <c r="Y84">
        <f t="shared" si="8"/>
        <v>2023</v>
      </c>
      <c r="Z84" s="27">
        <f t="shared" si="20"/>
        <v>7.7128503931127579E-3</v>
      </c>
      <c r="AA84" s="27">
        <f t="shared" si="19"/>
        <v>8.1904899344067417E-3</v>
      </c>
    </row>
    <row r="85" spans="2:27">
      <c r="B85" s="325">
        <f t="shared" si="9"/>
        <v>2024</v>
      </c>
      <c r="C85" s="336"/>
      <c r="D85" s="960"/>
      <c r="E85" s="332">
        <v>65.724194995467158</v>
      </c>
      <c r="F85" s="332">
        <v>96.359968029668806</v>
      </c>
      <c r="G85" s="332">
        <v>29.798242818527463</v>
      </c>
      <c r="H85" s="332">
        <f t="shared" si="13"/>
        <v>10.067858961151472</v>
      </c>
      <c r="I85" s="333">
        <f t="shared" si="14"/>
        <v>14.706348445161826</v>
      </c>
      <c r="J85" s="334">
        <f t="shared" si="15"/>
        <v>7.4579223715279523</v>
      </c>
      <c r="K85" s="335">
        <f t="shared" si="16"/>
        <v>-9.5576918207274097E-5</v>
      </c>
      <c r="L85" s="335">
        <f t="shared" si="17"/>
        <v>-9.4406753058162707E-4</v>
      </c>
      <c r="M85" s="863">
        <f t="shared" si="18"/>
        <v>-1.0170877222036578E-3</v>
      </c>
      <c r="Y85">
        <f t="shared" si="8"/>
        <v>2024</v>
      </c>
      <c r="Z85" s="27">
        <f t="shared" si="20"/>
        <v>6.6702432045779858E-3</v>
      </c>
      <c r="AA85" s="27">
        <f t="shared" si="19"/>
        <v>8.0941301944128519E-3</v>
      </c>
    </row>
    <row r="86" spans="2:27">
      <c r="B86" s="325">
        <f t="shared" si="9"/>
        <v>2025</v>
      </c>
      <c r="C86" s="336"/>
      <c r="D86" s="960"/>
      <c r="E86" s="332">
        <v>66.235801304282006</v>
      </c>
      <c r="F86" s="332">
        <v>96.674081965565108</v>
      </c>
      <c r="G86" s="332">
        <v>29.686912593547284</v>
      </c>
      <c r="H86" s="332">
        <f t="shared" si="13"/>
        <v>10.064763078029168</v>
      </c>
      <c r="I86" s="333">
        <f t="shared" si="14"/>
        <v>14.725301436464187</v>
      </c>
      <c r="J86" s="334">
        <f t="shared" si="15"/>
        <v>7.3993711492869867</v>
      </c>
      <c r="K86" s="335">
        <f t="shared" si="16"/>
        <v>-3.0750163805937092E-4</v>
      </c>
      <c r="L86" s="335">
        <f t="shared" si="17"/>
        <v>1.2887625621706977E-3</v>
      </c>
      <c r="M86" s="863">
        <f t="shared" si="18"/>
        <v>-7.8508757967897802E-3</v>
      </c>
      <c r="Y86">
        <f t="shared" si="8"/>
        <v>2025</v>
      </c>
      <c r="Z86" s="27">
        <f t="shared" si="20"/>
        <v>-2.2951493559878466E-3</v>
      </c>
      <c r="AA86" s="27">
        <f t="shared" si="19"/>
        <v>7.7841395980602357E-3</v>
      </c>
    </row>
    <row r="87" spans="2:27">
      <c r="B87" s="325">
        <f t="shared" si="9"/>
        <v>2026</v>
      </c>
      <c r="C87" s="336"/>
      <c r="D87" s="960"/>
      <c r="E87" s="332">
        <v>66.693046297758258</v>
      </c>
      <c r="F87" s="332">
        <v>97.026934556598675</v>
      </c>
      <c r="G87" s="332">
        <v>30.076941881793278</v>
      </c>
      <c r="H87" s="332">
        <f t="shared" si="13"/>
        <v>10.055966020440319</v>
      </c>
      <c r="I87" s="333">
        <f t="shared" si="14"/>
        <v>14.731027438146752</v>
      </c>
      <c r="J87" s="334">
        <f t="shared" si="15"/>
        <v>7.5246980224380469</v>
      </c>
      <c r="K87" s="335">
        <f t="shared" si="16"/>
        <v>-8.7404517330891274E-4</v>
      </c>
      <c r="L87" s="335">
        <f t="shared" si="17"/>
        <v>3.8885463277416044E-4</v>
      </c>
      <c r="M87" s="863">
        <f t="shared" si="18"/>
        <v>1.6937503285415989E-2</v>
      </c>
      <c r="Y87">
        <f t="shared" si="8"/>
        <v>2026</v>
      </c>
      <c r="Z87" s="27">
        <f t="shared" si="20"/>
        <v>-3.5922865013776617E-3</v>
      </c>
      <c r="AA87" s="27">
        <f t="shared" si="19"/>
        <v>6.9032907351072037E-3</v>
      </c>
    </row>
    <row r="88" spans="2:27">
      <c r="B88" s="325">
        <f t="shared" si="9"/>
        <v>2027</v>
      </c>
      <c r="C88" s="336"/>
      <c r="D88" s="960"/>
      <c r="E88" s="332">
        <v>67.127220135524226</v>
      </c>
      <c r="F88" s="332">
        <v>97.507334553166004</v>
      </c>
      <c r="G88" s="332">
        <v>30.21601459810617</v>
      </c>
      <c r="H88" s="332">
        <f t="shared" si="13"/>
        <v>10.052038532361729</v>
      </c>
      <c r="I88" s="333">
        <f t="shared" si="14"/>
        <v>14.750126965271802</v>
      </c>
      <c r="J88" s="334">
        <f t="shared" si="15"/>
        <v>7.461462109437722</v>
      </c>
      <c r="K88" s="335">
        <f t="shared" si="16"/>
        <v>-3.9056298227413411E-4</v>
      </c>
      <c r="L88" s="335">
        <f t="shared" si="17"/>
        <v>1.2965509164413191E-3</v>
      </c>
      <c r="M88" s="863">
        <f t="shared" si="18"/>
        <v>-8.4037808310394313E-3</v>
      </c>
      <c r="Y88">
        <f t="shared" si="8"/>
        <v>2027</v>
      </c>
      <c r="Z88" s="27">
        <f t="shared" si="20"/>
        <v>2.9009531703274583E-3</v>
      </c>
      <c r="AA88" s="27">
        <f t="shared" si="19"/>
        <v>6.5100315830162181E-3</v>
      </c>
    </row>
    <row r="89" spans="2:27" ht="13.5" thickBot="1">
      <c r="B89" s="961"/>
      <c r="C89" s="962"/>
      <c r="D89" s="962"/>
      <c r="E89" s="962"/>
      <c r="F89" s="962"/>
      <c r="G89" s="962"/>
      <c r="H89" s="963"/>
      <c r="I89" s="963"/>
      <c r="J89" s="963"/>
      <c r="K89" s="964"/>
      <c r="L89" s="964"/>
      <c r="M89" s="965"/>
    </row>
    <row r="93" spans="2:27">
      <c r="E93" s="1382" t="s">
        <v>581</v>
      </c>
      <c r="F93" s="1382" t="s">
        <v>582</v>
      </c>
      <c r="G93" s="1382" t="s">
        <v>583</v>
      </c>
    </row>
    <row r="94" spans="2:27">
      <c r="E94" s="1382"/>
      <c r="F94" s="1382"/>
      <c r="G94" s="1382"/>
    </row>
    <row r="96" spans="2:27">
      <c r="C96" s="156" t="s">
        <v>576</v>
      </c>
      <c r="E96" s="39">
        <f>RATE(B76-B72,,-D72,E76)</f>
        <v>5.9265783802223602E-2</v>
      </c>
      <c r="F96" s="39">
        <f>RATE(B76-B72,,-D72,F76)</f>
        <v>0.18336401060588642</v>
      </c>
      <c r="G96" s="39">
        <f>RATE(B76-B72,,-D72,G76)</f>
        <v>-0.1096387023047872</v>
      </c>
    </row>
    <row r="97" spans="3:7">
      <c r="C97" s="156" t="s">
        <v>577</v>
      </c>
      <c r="E97" s="39">
        <f>RATE(B81-B77,,-E77,E81)</f>
        <v>1.3804840036151195E-2</v>
      </c>
      <c r="F97" s="39">
        <f>RATE(B81-B77,,-F77,F81)</f>
        <v>7.591267868906358E-3</v>
      </c>
      <c r="G97" s="39">
        <f>RATE(B81-B77,,-G77,G81)</f>
        <v>9.7173856253156699E-4</v>
      </c>
    </row>
    <row r="98" spans="3:7">
      <c r="C98" s="156" t="s">
        <v>578</v>
      </c>
      <c r="E98" s="39">
        <f>RATE(B86-B82,,-E82,E86)</f>
        <v>8.811160135833029E-3</v>
      </c>
      <c r="F98" s="39">
        <f>RATE(B86-B82,,-F82,F86)</f>
        <v>3.1786806102678646E-3</v>
      </c>
      <c r="G98" s="39">
        <f>RATE(B86-B82,,-G82,G86)</f>
        <v>2.786258726100021E-3</v>
      </c>
    </row>
    <row r="99" spans="3:7">
      <c r="C99" s="156" t="s">
        <v>579</v>
      </c>
      <c r="E99" s="39">
        <f>RATE(B88-B87,,-E87,E88)</f>
        <v>6.5100315830163066E-3</v>
      </c>
      <c r="F99" s="39">
        <f>RATE(B88-B87,,-F87,F88)</f>
        <v>4.9512024548926314E-3</v>
      </c>
      <c r="G99" s="39">
        <f>RATE(B88-B87,,-G87,G88)</f>
        <v>4.6238981629006413E-3</v>
      </c>
    </row>
    <row r="100" spans="3:7">
      <c r="C100" s="156" t="s">
        <v>580</v>
      </c>
      <c r="E100" s="39"/>
    </row>
  </sheetData>
  <mergeCells count="40">
    <mergeCell ref="K52:M52"/>
    <mergeCell ref="H53:J53"/>
    <mergeCell ref="E54:E55"/>
    <mergeCell ref="F54:F55"/>
    <mergeCell ref="E52:G52"/>
    <mergeCell ref="E53:G53"/>
    <mergeCell ref="G54:G55"/>
    <mergeCell ref="K53:M53"/>
    <mergeCell ref="H54:H55"/>
    <mergeCell ref="I54:I55"/>
    <mergeCell ref="J54:J55"/>
    <mergeCell ref="K54:K55"/>
    <mergeCell ref="L54:L55"/>
    <mergeCell ref="M54:M55"/>
    <mergeCell ref="K6:M6"/>
    <mergeCell ref="C5:C9"/>
    <mergeCell ref="H7:J7"/>
    <mergeCell ref="D5:D9"/>
    <mergeCell ref="E6:G6"/>
    <mergeCell ref="E7:G7"/>
    <mergeCell ref="E8:E9"/>
    <mergeCell ref="F8:F9"/>
    <mergeCell ref="G8:G9"/>
    <mergeCell ref="K7:M7"/>
    <mergeCell ref="H8:H9"/>
    <mergeCell ref="I8:I9"/>
    <mergeCell ref="J8:J9"/>
    <mergeCell ref="K8:K9"/>
    <mergeCell ref="L8:L9"/>
    <mergeCell ref="M8:M9"/>
    <mergeCell ref="E93:E94"/>
    <mergeCell ref="F93:F94"/>
    <mergeCell ref="G93:G94"/>
    <mergeCell ref="B5:B9"/>
    <mergeCell ref="H6:J6"/>
    <mergeCell ref="B51:B55"/>
    <mergeCell ref="C51:C55"/>
    <mergeCell ref="H52:J52"/>
    <mergeCell ref="D51:D55"/>
    <mergeCell ref="D48:E49"/>
  </mergeCells>
  <pageMargins left="0.70866141732283472" right="0.70866141732283472" top="0.74803149606299213" bottom="0.74803149606299213" header="0.31496062992125984" footer="0.31496062992125984"/>
  <pageSetup scale="43" orientation="landscape" r:id="rId1"/>
  <drawing r:id="rId2"/>
</worksheet>
</file>

<file path=xl/worksheets/sheet21.xml><?xml version="1.0" encoding="utf-8"?>
<worksheet xmlns="http://schemas.openxmlformats.org/spreadsheetml/2006/main" xmlns:r="http://schemas.openxmlformats.org/officeDocument/2006/relationships">
  <sheetPr codeName="Hoja18">
    <pageSetUpPr fitToPage="1"/>
  </sheetPr>
  <dimension ref="B1:K46"/>
  <sheetViews>
    <sheetView topLeftCell="A22" workbookViewId="0">
      <selection activeCell="B3" sqref="B3"/>
    </sheetView>
  </sheetViews>
  <sheetFormatPr baseColWidth="10" defaultRowHeight="12.75"/>
  <cols>
    <col min="1" max="1" width="3.140625" customWidth="1"/>
    <col min="2" max="3" width="9.7109375" customWidth="1"/>
    <col min="5" max="5" width="12.85546875" bestFit="1" customWidth="1"/>
    <col min="6" max="6" width="10.140625" customWidth="1"/>
    <col min="7" max="7" width="14.28515625" customWidth="1"/>
    <col min="9" max="9" width="17" bestFit="1" customWidth="1"/>
    <col min="11" max="11" width="16.5703125" bestFit="1" customWidth="1"/>
    <col min="12" max="12" width="2.7109375" customWidth="1"/>
  </cols>
  <sheetData>
    <row r="1" spans="2:11" ht="15.75">
      <c r="B1" s="17" t="s">
        <v>236</v>
      </c>
      <c r="C1" s="17"/>
    </row>
    <row r="2" spans="2:11" ht="15.75">
      <c r="B2" s="155" t="s">
        <v>664</v>
      </c>
      <c r="C2" s="155"/>
      <c r="D2" s="155"/>
      <c r="E2" s="155"/>
      <c r="F2" s="155"/>
      <c r="G2" s="155"/>
      <c r="H2" s="155"/>
      <c r="I2" s="155"/>
    </row>
    <row r="3" spans="2:11" ht="15.75">
      <c r="B3" s="155" t="s">
        <v>663</v>
      </c>
      <c r="C3" s="155"/>
      <c r="D3" s="155"/>
      <c r="E3" s="155"/>
      <c r="F3" s="155"/>
      <c r="G3" s="155"/>
      <c r="H3" s="155"/>
      <c r="I3" s="155"/>
    </row>
    <row r="4" spans="2:11" ht="16.5" thickBot="1">
      <c r="B4" s="219"/>
      <c r="C4" s="219"/>
      <c r="D4" s="219"/>
      <c r="E4" s="219"/>
      <c r="F4" s="219"/>
      <c r="G4" s="219"/>
      <c r="H4" s="219"/>
      <c r="I4" s="219"/>
      <c r="J4" s="10"/>
      <c r="K4" s="10"/>
    </row>
    <row r="5" spans="2:11" ht="12.75" customHeight="1">
      <c r="B5" s="1194" t="s">
        <v>8</v>
      </c>
      <c r="C5" s="1442" t="s">
        <v>227</v>
      </c>
      <c r="D5" s="1443"/>
      <c r="E5" s="1444"/>
      <c r="F5" s="1434" t="s">
        <v>228</v>
      </c>
      <c r="G5" s="1435"/>
      <c r="H5" s="1437" t="s">
        <v>229</v>
      </c>
      <c r="I5" s="1438"/>
      <c r="J5" s="1422" t="s">
        <v>230</v>
      </c>
      <c r="K5" s="1423"/>
    </row>
    <row r="6" spans="2:11">
      <c r="B6" s="1195"/>
      <c r="C6" s="1445"/>
      <c r="D6" s="1446"/>
      <c r="E6" s="1447"/>
      <c r="F6" s="1424"/>
      <c r="G6" s="1436"/>
      <c r="H6" s="1424"/>
      <c r="I6" s="1439"/>
      <c r="J6" s="1424"/>
      <c r="K6" s="1425"/>
    </row>
    <row r="7" spans="2:11" ht="12.75" customHeight="1">
      <c r="B7" s="1195"/>
      <c r="C7" s="1448" t="s">
        <v>305</v>
      </c>
      <c r="D7" s="1449"/>
      <c r="E7" s="1450"/>
      <c r="F7" s="1440" t="s">
        <v>336</v>
      </c>
      <c r="G7" s="1441"/>
      <c r="H7" s="1426" t="s">
        <v>530</v>
      </c>
      <c r="I7" s="1427"/>
      <c r="J7" s="1430" t="s">
        <v>307</v>
      </c>
      <c r="K7" s="1431"/>
    </row>
    <row r="8" spans="2:11">
      <c r="B8" s="1195"/>
      <c r="C8" s="1451"/>
      <c r="D8" s="1452"/>
      <c r="E8" s="1453"/>
      <c r="F8" s="1424"/>
      <c r="G8" s="1439"/>
      <c r="H8" s="1428"/>
      <c r="I8" s="1429"/>
      <c r="J8" s="1432"/>
      <c r="K8" s="1433"/>
    </row>
    <row r="9" spans="2:11">
      <c r="B9" s="1196"/>
      <c r="C9" s="209" t="s">
        <v>304</v>
      </c>
      <c r="D9" s="214" t="s">
        <v>20</v>
      </c>
      <c r="E9" s="215" t="s">
        <v>233</v>
      </c>
      <c r="F9" s="137" t="s">
        <v>20</v>
      </c>
      <c r="G9" s="138" t="s">
        <v>233</v>
      </c>
      <c r="H9" s="139" t="s">
        <v>20</v>
      </c>
      <c r="I9" s="140" t="s">
        <v>233</v>
      </c>
      <c r="J9" s="141" t="s">
        <v>20</v>
      </c>
      <c r="K9" s="142" t="s">
        <v>233</v>
      </c>
    </row>
    <row r="10" spans="2:11" ht="10.5" customHeight="1">
      <c r="B10" s="33"/>
      <c r="C10" s="210"/>
      <c r="D10" s="52"/>
      <c r="E10" s="9"/>
      <c r="F10" s="53"/>
      <c r="G10" s="54"/>
      <c r="H10" s="55"/>
      <c r="I10" s="133"/>
      <c r="J10" s="107"/>
      <c r="K10" s="108"/>
    </row>
    <row r="11" spans="2:11" ht="10.5" customHeight="1">
      <c r="B11" s="33">
        <v>2009</v>
      </c>
      <c r="C11" s="210">
        <v>23112.629999999997</v>
      </c>
      <c r="D11" s="52"/>
      <c r="E11" s="9"/>
      <c r="F11" s="53"/>
      <c r="G11" s="54"/>
      <c r="H11" s="55"/>
      <c r="I11" s="133"/>
      <c r="J11" s="107"/>
      <c r="K11" s="220"/>
    </row>
    <row r="12" spans="2:11" ht="12.75" customHeight="1">
      <c r="B12" s="33">
        <v>2010</v>
      </c>
      <c r="C12" s="212">
        <v>75136.109999999986</v>
      </c>
      <c r="D12" s="56">
        <v>74.966899999999995</v>
      </c>
      <c r="E12" s="9"/>
      <c r="F12" s="109">
        <f t="shared" ref="F12:F28" si="0">D12</f>
        <v>74.966899999999995</v>
      </c>
      <c r="G12" s="221"/>
      <c r="H12" s="127">
        <f>(D12*1)</f>
        <v>74.966899999999995</v>
      </c>
      <c r="I12" s="133"/>
      <c r="J12" s="135">
        <f>D12*(1)</f>
        <v>74.966899999999995</v>
      </c>
      <c r="K12" s="220"/>
    </row>
    <row r="13" spans="2:11">
      <c r="B13" s="19">
        <v>2011</v>
      </c>
      <c r="C13" s="212">
        <v>70992.63</v>
      </c>
      <c r="D13" s="56">
        <v>71.014589999999984</v>
      </c>
      <c r="E13" s="218">
        <f>(D13/D12)-1</f>
        <v>-5.2720734083975929E-2</v>
      </c>
      <c r="F13" s="109">
        <f t="shared" si="0"/>
        <v>71.014589999999984</v>
      </c>
      <c r="G13" s="217">
        <f>(F13/F12)-1</f>
        <v>-5.2720734083975929E-2</v>
      </c>
      <c r="H13" s="127">
        <f>(D13*1)</f>
        <v>71.014589999999984</v>
      </c>
      <c r="I13" s="216">
        <f>(H13/H12)-1</f>
        <v>-5.2720734083975929E-2</v>
      </c>
      <c r="J13" s="135">
        <f>D13*(1)</f>
        <v>71.014589999999984</v>
      </c>
      <c r="K13" s="128">
        <f t="shared" ref="K13:K23" si="1">(+J13-J12)/J12*100</f>
        <v>-5.2720734083975884</v>
      </c>
    </row>
    <row r="14" spans="2:11">
      <c r="B14" s="19">
        <f t="shared" ref="B14:B23" si="2">+B13+1</f>
        <v>2012</v>
      </c>
      <c r="C14" s="212">
        <v>78543.472661437569</v>
      </c>
      <c r="D14" s="56">
        <f t="shared" ref="D14:D29" si="3">C14/1000</f>
        <v>78.543472661437562</v>
      </c>
      <c r="E14" s="218">
        <f>(D14/D13)-1</f>
        <v>0.10601881474549923</v>
      </c>
      <c r="F14" s="109">
        <f>D14</f>
        <v>78.543472661437562</v>
      </c>
      <c r="G14" s="217">
        <f>(F14/F13)-1</f>
        <v>0.10601881474549923</v>
      </c>
      <c r="H14" s="127">
        <f>(D14*1)</f>
        <v>78.543472661437562</v>
      </c>
      <c r="I14" s="216">
        <f>(H14/H13)-1</f>
        <v>0.10601881474549923</v>
      </c>
      <c r="J14" s="135">
        <f>D14*(1)</f>
        <v>78.543472661437562</v>
      </c>
      <c r="K14" s="128">
        <f t="shared" si="1"/>
        <v>10.60188147454992</v>
      </c>
    </row>
    <row r="15" spans="2:11">
      <c r="B15" s="19">
        <f t="shared" si="2"/>
        <v>2013</v>
      </c>
      <c r="C15" s="212">
        <v>81466.072100000005</v>
      </c>
      <c r="D15" s="56">
        <f>C15/1000</f>
        <v>81.466072100000005</v>
      </c>
      <c r="E15" s="218">
        <f>(D15/D14)-1</f>
        <v>3.7209959523439196E-2</v>
      </c>
      <c r="F15" s="109">
        <f t="shared" si="0"/>
        <v>81.466072100000005</v>
      </c>
      <c r="G15" s="217">
        <f t="shared" ref="G15:G28" si="4">(F15/F14)-1</f>
        <v>3.7209959523439196E-2</v>
      </c>
      <c r="H15" s="127">
        <f>(D15*1)</f>
        <v>81.466072100000005</v>
      </c>
      <c r="I15" s="216">
        <f>(H15/H14)-1</f>
        <v>3.7209959523439196E-2</v>
      </c>
      <c r="J15" s="135">
        <f>D15*(1)</f>
        <v>81.466072100000005</v>
      </c>
      <c r="K15" s="128">
        <f t="shared" si="1"/>
        <v>3.7209959523439173</v>
      </c>
    </row>
    <row r="16" spans="2:11">
      <c r="B16" s="19">
        <f t="shared" si="2"/>
        <v>2014</v>
      </c>
      <c r="C16" s="212">
        <v>82688.06318149998</v>
      </c>
      <c r="D16" s="56">
        <f t="shared" si="3"/>
        <v>82.688063181499984</v>
      </c>
      <c r="E16" s="218">
        <f>(D16/D15)-1</f>
        <v>1.499999999999968E-2</v>
      </c>
      <c r="F16" s="109">
        <f t="shared" si="0"/>
        <v>82.688063181499984</v>
      </c>
      <c r="G16" s="217">
        <f t="shared" si="4"/>
        <v>1.499999999999968E-2</v>
      </c>
      <c r="H16" s="127">
        <f t="shared" ref="H16" si="5">(D16*1)</f>
        <v>82.688063181499984</v>
      </c>
      <c r="I16" s="216">
        <f t="shared" ref="I16:I28" si="6">(H16/H15)-1</f>
        <v>1.499999999999968E-2</v>
      </c>
      <c r="J16" s="135">
        <f t="shared" ref="J16" si="7">D16*(1)</f>
        <v>82.688063181499984</v>
      </c>
      <c r="K16" s="128">
        <f t="shared" si="1"/>
        <v>1.4999999999999745</v>
      </c>
    </row>
    <row r="17" spans="2:11">
      <c r="B17" s="19">
        <f t="shared" si="2"/>
        <v>2015</v>
      </c>
      <c r="C17" s="212">
        <v>83928.384129222468</v>
      </c>
      <c r="D17" s="56">
        <f t="shared" si="3"/>
        <v>83.928384129222465</v>
      </c>
      <c r="E17" s="218">
        <f t="shared" ref="E17:E29" si="8">(D17/D16)-1</f>
        <v>1.499999999999968E-2</v>
      </c>
      <c r="F17" s="109">
        <f t="shared" si="0"/>
        <v>83.928384129222465</v>
      </c>
      <c r="G17" s="217">
        <f t="shared" si="4"/>
        <v>1.499999999999968E-2</v>
      </c>
      <c r="H17" s="127">
        <f>(D17*(1.05))</f>
        <v>88.124803335683595</v>
      </c>
      <c r="I17" s="216">
        <f t="shared" si="6"/>
        <v>6.5749999999999753E-2</v>
      </c>
      <c r="J17" s="135">
        <f>D17*(1-0.025)</f>
        <v>81.830174525991907</v>
      </c>
      <c r="K17" s="128">
        <f t="shared" si="1"/>
        <v>-1.0375000000000179</v>
      </c>
    </row>
    <row r="18" spans="2:11">
      <c r="B18" s="19">
        <f t="shared" si="2"/>
        <v>2016</v>
      </c>
      <c r="C18" s="212">
        <v>85292.140769056015</v>
      </c>
      <c r="D18" s="56">
        <f t="shared" si="3"/>
        <v>85.292140769056019</v>
      </c>
      <c r="E18" s="218">
        <f t="shared" si="8"/>
        <v>1.6249051545348614E-2</v>
      </c>
      <c r="F18" s="109">
        <f t="shared" si="0"/>
        <v>85.292140769056019</v>
      </c>
      <c r="G18" s="217">
        <f t="shared" si="4"/>
        <v>1.6249051545348614E-2</v>
      </c>
      <c r="H18" s="127">
        <f>(D18*1.05)</f>
        <v>89.556747807508827</v>
      </c>
      <c r="I18" s="216">
        <f t="shared" si="6"/>
        <v>1.6249051545348614E-2</v>
      </c>
      <c r="J18" s="135">
        <f t="shared" ref="J18" si="9">D18*(1-0.025)</f>
        <v>83.159837249829621</v>
      </c>
      <c r="K18" s="128">
        <f t="shared" si="1"/>
        <v>1.6249051545348596</v>
      </c>
    </row>
    <row r="19" spans="2:11">
      <c r="B19" s="19">
        <f t="shared" si="2"/>
        <v>2017</v>
      </c>
      <c r="C19" s="212">
        <v>86571.52288059186</v>
      </c>
      <c r="D19" s="56">
        <f t="shared" si="3"/>
        <v>86.571522880591857</v>
      </c>
      <c r="E19" s="218">
        <f t="shared" si="8"/>
        <v>1.4999999999999902E-2</v>
      </c>
      <c r="F19" s="109">
        <f t="shared" si="0"/>
        <v>86.571522880591857</v>
      </c>
      <c r="G19" s="217">
        <f t="shared" si="4"/>
        <v>1.4999999999999902E-2</v>
      </c>
      <c r="H19" s="127">
        <f>(D19*1.1)</f>
        <v>95.228675168651051</v>
      </c>
      <c r="I19" s="216">
        <f t="shared" si="6"/>
        <v>6.3333333333333242E-2</v>
      </c>
      <c r="J19" s="135">
        <f>D19*(1-0.025)</f>
        <v>84.407234808577059</v>
      </c>
      <c r="K19" s="128">
        <f t="shared" si="1"/>
        <v>1.4999999999999913</v>
      </c>
    </row>
    <row r="20" spans="2:11">
      <c r="B20" s="19">
        <f t="shared" si="2"/>
        <v>2018</v>
      </c>
      <c r="C20" s="212">
        <v>87870.09572380074</v>
      </c>
      <c r="D20" s="56">
        <f t="shared" si="3"/>
        <v>87.870095723800745</v>
      </c>
      <c r="E20" s="218">
        <f t="shared" si="8"/>
        <v>1.5000000000000124E-2</v>
      </c>
      <c r="F20" s="109">
        <f t="shared" si="0"/>
        <v>87.870095723800745</v>
      </c>
      <c r="G20" s="217">
        <f t="shared" si="4"/>
        <v>1.5000000000000124E-2</v>
      </c>
      <c r="H20" s="127">
        <f t="shared" ref="H20:H29" si="10">(D20*1.1)</f>
        <v>96.657105296180831</v>
      </c>
      <c r="I20" s="216">
        <f t="shared" si="6"/>
        <v>1.5000000000000124E-2</v>
      </c>
      <c r="J20" s="135">
        <f t="shared" ref="J20:J29" si="11">D20*(1-0.025)</f>
        <v>85.67334333070572</v>
      </c>
      <c r="K20" s="131">
        <f t="shared" si="1"/>
        <v>1.5000000000000064</v>
      </c>
    </row>
    <row r="21" spans="2:11">
      <c r="B21" s="19">
        <f t="shared" si="2"/>
        <v>2019</v>
      </c>
      <c r="C21" s="212">
        <v>89188.147159657732</v>
      </c>
      <c r="D21" s="56">
        <f t="shared" si="3"/>
        <v>89.188147159657731</v>
      </c>
      <c r="E21" s="218">
        <f t="shared" si="8"/>
        <v>1.499999999999968E-2</v>
      </c>
      <c r="F21" s="109">
        <f t="shared" si="0"/>
        <v>89.188147159657731</v>
      </c>
      <c r="G21" s="217">
        <f t="shared" si="4"/>
        <v>1.499999999999968E-2</v>
      </c>
      <c r="H21" s="127">
        <f t="shared" si="10"/>
        <v>98.106961875623512</v>
      </c>
      <c r="I21" s="216">
        <f t="shared" si="6"/>
        <v>1.499999999999968E-2</v>
      </c>
      <c r="J21" s="135">
        <f t="shared" si="11"/>
        <v>86.95844348066629</v>
      </c>
      <c r="K21" s="128">
        <f t="shared" si="1"/>
        <v>1.4999999999999818</v>
      </c>
    </row>
    <row r="22" spans="2:11">
      <c r="B22" s="19">
        <f t="shared" si="2"/>
        <v>2020</v>
      </c>
      <c r="C22" s="212">
        <v>90525.969367052588</v>
      </c>
      <c r="D22" s="56">
        <f t="shared" si="3"/>
        <v>90.525969367052582</v>
      </c>
      <c r="E22" s="218">
        <f t="shared" si="8"/>
        <v>1.4999999999999902E-2</v>
      </c>
      <c r="F22" s="109">
        <f t="shared" si="0"/>
        <v>90.525969367052582</v>
      </c>
      <c r="G22" s="217">
        <f t="shared" si="4"/>
        <v>1.4999999999999902E-2</v>
      </c>
      <c r="H22" s="127">
        <f t="shared" si="10"/>
        <v>99.578566303757853</v>
      </c>
      <c r="I22" s="216">
        <f t="shared" si="6"/>
        <v>1.4999999999999902E-2</v>
      </c>
      <c r="J22" s="135">
        <f t="shared" si="11"/>
        <v>88.262820132876271</v>
      </c>
      <c r="K22" s="128">
        <f t="shared" si="1"/>
        <v>1.4999999999999853</v>
      </c>
    </row>
    <row r="23" spans="2:11">
      <c r="B23" s="23">
        <f t="shared" si="2"/>
        <v>2021</v>
      </c>
      <c r="C23" s="213">
        <v>93609</v>
      </c>
      <c r="D23" s="56">
        <f t="shared" si="3"/>
        <v>93.608999999999995</v>
      </c>
      <c r="E23" s="218">
        <f t="shared" si="8"/>
        <v>3.4056864063468417E-2</v>
      </c>
      <c r="F23" s="109">
        <f t="shared" si="0"/>
        <v>93.608999999999995</v>
      </c>
      <c r="G23" s="217">
        <f t="shared" si="4"/>
        <v>3.4056864063468417E-2</v>
      </c>
      <c r="H23" s="127">
        <f t="shared" si="10"/>
        <v>102.9699</v>
      </c>
      <c r="I23" s="216">
        <f t="shared" si="6"/>
        <v>3.4056864063468195E-2</v>
      </c>
      <c r="J23" s="135">
        <f t="shared" si="11"/>
        <v>91.268774999999991</v>
      </c>
      <c r="K23" s="129">
        <f t="shared" si="1"/>
        <v>3.4056864063468293</v>
      </c>
    </row>
    <row r="24" spans="2:11">
      <c r="B24" s="19">
        <f t="shared" ref="B24:B29" si="12">+B23+1</f>
        <v>2022</v>
      </c>
      <c r="C24" s="212">
        <v>93749.41350000001</v>
      </c>
      <c r="D24" s="56">
        <f t="shared" si="3"/>
        <v>93.749413500000003</v>
      </c>
      <c r="E24" s="218">
        <f t="shared" si="8"/>
        <v>1.5000000000000568E-3</v>
      </c>
      <c r="F24" s="109">
        <f t="shared" si="0"/>
        <v>93.749413500000003</v>
      </c>
      <c r="G24" s="217">
        <f t="shared" si="4"/>
        <v>1.5000000000000568E-3</v>
      </c>
      <c r="H24" s="127">
        <f t="shared" si="10"/>
        <v>103.12435485000002</v>
      </c>
      <c r="I24" s="216">
        <f t="shared" si="6"/>
        <v>1.5000000000002789E-3</v>
      </c>
      <c r="J24" s="135">
        <f t="shared" si="11"/>
        <v>91.405678162499996</v>
      </c>
      <c r="K24" s="128">
        <f>(+J24-J23)/J23*100</f>
        <v>0.15000000000000524</v>
      </c>
    </row>
    <row r="25" spans="2:11">
      <c r="B25" s="19">
        <f t="shared" si="12"/>
        <v>2023</v>
      </c>
      <c r="C25" s="212">
        <v>95507.567682499983</v>
      </c>
      <c r="D25" s="56">
        <f t="shared" si="3"/>
        <v>95.507567682499982</v>
      </c>
      <c r="E25" s="218">
        <f t="shared" si="8"/>
        <v>1.8753761936867841E-2</v>
      </c>
      <c r="F25" s="109">
        <f t="shared" si="0"/>
        <v>95.507567682499982</v>
      </c>
      <c r="G25" s="217">
        <f t="shared" si="4"/>
        <v>1.8753761936867841E-2</v>
      </c>
      <c r="H25" s="127">
        <f t="shared" si="10"/>
        <v>105.05832445074999</v>
      </c>
      <c r="I25" s="216">
        <f t="shared" si="6"/>
        <v>1.8753761936867841E-2</v>
      </c>
      <c r="J25" s="135">
        <f t="shared" si="11"/>
        <v>93.119878490437486</v>
      </c>
      <c r="K25" s="128">
        <f>(+J25-J24)/J24*100</f>
        <v>1.8753761936867908</v>
      </c>
    </row>
    <row r="26" spans="2:11">
      <c r="B26" s="19">
        <f t="shared" si="12"/>
        <v>2024</v>
      </c>
      <c r="C26" s="212">
        <v>97299.065447337518</v>
      </c>
      <c r="D26" s="56">
        <f t="shared" si="3"/>
        <v>97.299065447337512</v>
      </c>
      <c r="E26" s="218">
        <f t="shared" si="8"/>
        <v>1.8757652490879906E-2</v>
      </c>
      <c r="F26" s="109">
        <f t="shared" si="0"/>
        <v>97.299065447337512</v>
      </c>
      <c r="G26" s="217">
        <f t="shared" si="4"/>
        <v>1.8757652490879906E-2</v>
      </c>
      <c r="H26" s="127">
        <f t="shared" si="10"/>
        <v>107.02897199207128</v>
      </c>
      <c r="I26" s="216">
        <f t="shared" si="6"/>
        <v>1.8757652490879906E-2</v>
      </c>
      <c r="J26" s="135">
        <f t="shared" si="11"/>
        <v>94.866588811154074</v>
      </c>
      <c r="K26" s="128">
        <f>(+J26-J25)/J25*100</f>
        <v>1.8757652490879893</v>
      </c>
    </row>
    <row r="27" spans="2:11">
      <c r="B27" s="19">
        <f t="shared" si="12"/>
        <v>2025</v>
      </c>
      <c r="C27" s="212">
        <v>99124.613363639568</v>
      </c>
      <c r="D27" s="56">
        <f t="shared" si="3"/>
        <v>99.124613363639568</v>
      </c>
      <c r="E27" s="218">
        <f t="shared" si="8"/>
        <v>1.87622348468508E-2</v>
      </c>
      <c r="F27" s="109">
        <f t="shared" si="0"/>
        <v>99.124613363639568</v>
      </c>
      <c r="G27" s="217">
        <f t="shared" si="4"/>
        <v>1.87622348468508E-2</v>
      </c>
      <c r="H27" s="127">
        <f t="shared" si="10"/>
        <v>109.03707470000353</v>
      </c>
      <c r="I27" s="216">
        <f t="shared" si="6"/>
        <v>1.87622348468508E-2</v>
      </c>
      <c r="J27" s="135">
        <f t="shared" si="11"/>
        <v>96.646498029548582</v>
      </c>
      <c r="K27" s="128">
        <f>(+J27-J26)/J26*100</f>
        <v>1.8762234846850869</v>
      </c>
    </row>
    <row r="28" spans="2:11">
      <c r="B28" s="19">
        <f t="shared" si="12"/>
        <v>2026</v>
      </c>
      <c r="C28" s="212">
        <v>100984.87</v>
      </c>
      <c r="D28" s="56">
        <f t="shared" si="3"/>
        <v>100.98487</v>
      </c>
      <c r="E28" s="218">
        <f t="shared" si="8"/>
        <v>1.8766848850507722E-2</v>
      </c>
      <c r="F28" s="109">
        <f t="shared" si="0"/>
        <v>100.98487</v>
      </c>
      <c r="G28" s="217">
        <f t="shared" si="4"/>
        <v>1.8766848850507722E-2</v>
      </c>
      <c r="H28" s="127">
        <f t="shared" si="10"/>
        <v>111.08335700000001</v>
      </c>
      <c r="I28" s="216">
        <f t="shared" si="6"/>
        <v>1.8766848850507722E-2</v>
      </c>
      <c r="J28" s="135">
        <f t="shared" si="11"/>
        <v>98.460248249999992</v>
      </c>
      <c r="K28" s="128">
        <f>(+J28-J27)/J27*100</f>
        <v>1.8766848850507514</v>
      </c>
    </row>
    <row r="29" spans="2:11">
      <c r="B29" s="19">
        <f t="shared" si="12"/>
        <v>2027</v>
      </c>
      <c r="C29" s="212">
        <f>C28*(1+0.0188)</f>
        <v>102883.38555599999</v>
      </c>
      <c r="D29" s="56">
        <f t="shared" si="3"/>
        <v>102.88338555599999</v>
      </c>
      <c r="E29" s="218">
        <f t="shared" si="8"/>
        <v>1.8799999999999928E-2</v>
      </c>
      <c r="F29" s="109">
        <f t="shared" ref="F29" si="13">D29</f>
        <v>102.88338555599999</v>
      </c>
      <c r="G29" s="217">
        <f t="shared" ref="G29" si="14">(F29/F28)-1</f>
        <v>1.8799999999999928E-2</v>
      </c>
      <c r="H29" s="127">
        <f t="shared" si="10"/>
        <v>113.1717241116</v>
      </c>
      <c r="I29" s="216">
        <f t="shared" ref="I29" si="15">(H29/H28)-1</f>
        <v>1.8799999999999928E-2</v>
      </c>
      <c r="J29" s="135">
        <f t="shared" si="11"/>
        <v>100.31130091709998</v>
      </c>
      <c r="K29" s="128">
        <f>(+J29-J28)/J28*I32100</f>
        <v>0</v>
      </c>
    </row>
    <row r="30" spans="2:11" ht="13.5" thickBot="1">
      <c r="B30" s="93"/>
      <c r="C30" s="124"/>
      <c r="D30" s="104"/>
      <c r="E30" s="104"/>
      <c r="F30" s="105"/>
      <c r="G30" s="132"/>
      <c r="H30" s="106"/>
      <c r="I30" s="134"/>
      <c r="J30" s="136"/>
      <c r="K30" s="130"/>
    </row>
    <row r="31" spans="2:11">
      <c r="B31" s="1420" t="s">
        <v>232</v>
      </c>
      <c r="C31" s="211"/>
      <c r="D31" s="122"/>
      <c r="E31" s="122"/>
      <c r="F31" s="144"/>
      <c r="G31" s="144"/>
      <c r="H31" s="145"/>
      <c r="I31" s="145"/>
      <c r="J31" s="146"/>
      <c r="K31" s="147"/>
    </row>
    <row r="32" spans="2:11" ht="13.5" thickBot="1">
      <c r="B32" s="1421"/>
      <c r="C32" s="180"/>
      <c r="D32" s="125"/>
      <c r="E32" s="148">
        <f>ROUND((D29/D13)^(1/($B$29-B13))-1,4)</f>
        <v>2.3400000000000001E-2</v>
      </c>
      <c r="F32" s="149">
        <f>(F29/F13)-1</f>
        <v>0.4487640575830969</v>
      </c>
      <c r="G32" s="150">
        <f>ROUND((F29/F13)^(1/($B$29-B12))-1,4)</f>
        <v>2.1999999999999999E-2</v>
      </c>
      <c r="H32" s="222">
        <f>(H29/H13)-1</f>
        <v>0.59364046334140674</v>
      </c>
      <c r="I32" s="152">
        <f>ROUND((H29/H13)^(1/($B$27-B12))-1,4)</f>
        <v>3.1600000000000003E-2</v>
      </c>
      <c r="J32" s="223">
        <f>(J29/J13)-1</f>
        <v>0.41254495614351927</v>
      </c>
      <c r="K32" s="154">
        <f>ROUND((J29/J13)^(1/($B$27-B12))-1,4)</f>
        <v>2.3300000000000001E-2</v>
      </c>
    </row>
    <row r="33" spans="2:11" ht="6.75" customHeight="1">
      <c r="F33" s="27"/>
      <c r="H33" s="27"/>
      <c r="J33" s="27"/>
    </row>
    <row r="34" spans="2:11">
      <c r="B34" s="156" t="s">
        <v>337</v>
      </c>
      <c r="E34" s="126">
        <f>C27/C12-1</f>
        <v>0.31926730520969993</v>
      </c>
      <c r="F34" s="27"/>
      <c r="H34" s="27"/>
      <c r="I34" s="126">
        <f>H27/H12-1</f>
        <v>0.45446956856964249</v>
      </c>
      <c r="J34" s="27"/>
      <c r="K34" s="126">
        <f>J27/J12-1</f>
        <v>0.2891889357776376</v>
      </c>
    </row>
    <row r="35" spans="2:11" ht="4.5" customHeight="1">
      <c r="F35" s="27"/>
      <c r="H35" s="27"/>
      <c r="J35" s="27"/>
    </row>
    <row r="36" spans="2:11">
      <c r="B36" s="156" t="s">
        <v>306</v>
      </c>
      <c r="C36" s="16"/>
      <c r="F36" s="27"/>
      <c r="H36" s="27"/>
      <c r="J36" s="27"/>
    </row>
    <row r="37" spans="2:11">
      <c r="B37" s="156"/>
      <c r="C37" s="16"/>
      <c r="F37" s="27"/>
      <c r="H37" s="27"/>
      <c r="J37" s="27"/>
    </row>
    <row r="38" spans="2:11" ht="6.75" customHeight="1">
      <c r="F38" s="27"/>
      <c r="H38" s="27"/>
      <c r="J38" s="27"/>
    </row>
    <row r="39" spans="2:11">
      <c r="B39" s="156" t="s">
        <v>310</v>
      </c>
      <c r="C39" s="16"/>
    </row>
    <row r="40" spans="2:11">
      <c r="B40" s="156" t="s">
        <v>311</v>
      </c>
      <c r="C40" s="16"/>
    </row>
    <row r="41" spans="2:11" ht="7.5" customHeight="1">
      <c r="B41" s="16"/>
      <c r="C41" s="16"/>
    </row>
    <row r="42" spans="2:11">
      <c r="B42" s="156" t="s">
        <v>309</v>
      </c>
      <c r="C42" s="16"/>
      <c r="H42" s="57"/>
    </row>
    <row r="43" spans="2:11">
      <c r="B43" s="156" t="s">
        <v>308</v>
      </c>
      <c r="C43" s="16"/>
    </row>
    <row r="45" spans="2:11">
      <c r="F45" s="27"/>
      <c r="H45" s="27"/>
      <c r="J45" s="27"/>
    </row>
    <row r="46" spans="2:11">
      <c r="F46" s="27"/>
      <c r="H46" s="27"/>
      <c r="J46" s="27"/>
    </row>
  </sheetData>
  <mergeCells count="10">
    <mergeCell ref="B31:B32"/>
    <mergeCell ref="J5:K6"/>
    <mergeCell ref="H7:I8"/>
    <mergeCell ref="J7:K8"/>
    <mergeCell ref="B5:B9"/>
    <mergeCell ref="F5:G6"/>
    <mergeCell ref="H5:I6"/>
    <mergeCell ref="F7:G8"/>
    <mergeCell ref="C5:E6"/>
    <mergeCell ref="C7:E8"/>
  </mergeCells>
  <phoneticPr fontId="0" type="noConversion"/>
  <printOptions horizontalCentered="1" verticalCentered="1"/>
  <pageMargins left="0.74803149606299213" right="0.74803149606299213" top="1.1417322834645669" bottom="0.94488188976377963" header="0" footer="0.55118110236220474"/>
  <pageSetup scale="80" orientation="landscape" r:id="rId1"/>
  <headerFooter alignWithMargins="0">
    <oddFooter>&amp;LARCHIVO:  &amp;F
HOJA:  &amp;A&amp;F&amp;R&amp;D</oddFooter>
  </headerFooter>
</worksheet>
</file>

<file path=xl/worksheets/sheet22.xml><?xml version="1.0" encoding="utf-8"?>
<worksheet xmlns="http://schemas.openxmlformats.org/spreadsheetml/2006/main" xmlns:r="http://schemas.openxmlformats.org/officeDocument/2006/relationships">
  <sheetPr codeName="Hoja19">
    <pageSetUpPr fitToPage="1"/>
  </sheetPr>
  <dimension ref="A1:AG44"/>
  <sheetViews>
    <sheetView showZeros="0" view="pageBreakPreview" zoomScale="60" zoomScaleNormal="100" workbookViewId="0">
      <selection activeCell="T6" sqref="T6:AB6"/>
    </sheetView>
  </sheetViews>
  <sheetFormatPr baseColWidth="10" defaultRowHeight="12.75"/>
  <cols>
    <col min="1" max="1" width="3.140625" customWidth="1"/>
    <col min="2" max="2" width="9.7109375" customWidth="1"/>
    <col min="3" max="3" width="10.140625" customWidth="1"/>
    <col min="4" max="4" width="11.7109375" customWidth="1"/>
    <col min="6" max="6" width="11.7109375" customWidth="1"/>
    <col min="8" max="8" width="11.5703125" customWidth="1"/>
    <col min="9" max="9" width="5.5703125" customWidth="1"/>
    <col min="10" max="13" width="2.7109375" customWidth="1"/>
    <col min="14" max="14" width="13.28515625" bestFit="1" customWidth="1"/>
    <col min="15" max="15" width="12.28515625" bestFit="1" customWidth="1"/>
    <col min="16" max="16" width="12.28515625" customWidth="1"/>
    <col min="17" max="17" width="13.28515625" bestFit="1" customWidth="1"/>
    <col min="18" max="19" width="3.7109375" customWidth="1"/>
    <col min="20" max="20" width="13.28515625" customWidth="1"/>
    <col min="21" max="21" width="2.85546875" customWidth="1"/>
    <col min="22" max="22" width="18.5703125" customWidth="1"/>
    <col min="25" max="28" width="13.85546875" customWidth="1"/>
    <col min="29" max="30" width="3.5703125" customWidth="1"/>
  </cols>
  <sheetData>
    <row r="1" spans="1:33">
      <c r="R1" s="206"/>
      <c r="S1" s="206"/>
      <c r="T1" s="206"/>
      <c r="U1" s="206"/>
      <c r="V1" s="206"/>
      <c r="W1" s="206"/>
      <c r="X1" s="206"/>
      <c r="Y1" s="206"/>
      <c r="Z1" s="206"/>
      <c r="AA1" s="206"/>
      <c r="AB1" s="206"/>
      <c r="AC1" s="206"/>
    </row>
    <row r="2" spans="1:33" ht="15.75">
      <c r="B2" s="205" t="s">
        <v>364</v>
      </c>
      <c r="C2" s="206"/>
      <c r="D2" s="206"/>
      <c r="E2" s="206"/>
      <c r="F2" s="206"/>
      <c r="G2" s="206"/>
      <c r="H2" s="206"/>
      <c r="R2" s="206"/>
      <c r="S2" s="206"/>
      <c r="T2" s="1461" t="s">
        <v>522</v>
      </c>
      <c r="U2" s="1461"/>
      <c r="V2" s="1461"/>
      <c r="W2" s="1461"/>
      <c r="X2" s="1461"/>
      <c r="Y2" s="1461"/>
      <c r="Z2" s="1461"/>
      <c r="AA2" s="1461"/>
      <c r="AB2" s="1461"/>
      <c r="AC2" s="206"/>
      <c r="AD2" s="206"/>
    </row>
    <row r="3" spans="1:33" ht="15.75">
      <c r="B3" s="1462" t="s">
        <v>371</v>
      </c>
      <c r="C3" s="1462"/>
      <c r="D3" s="1462"/>
      <c r="E3" s="1462"/>
      <c r="F3" s="1462"/>
      <c r="G3" s="1462"/>
      <c r="H3" s="1462"/>
      <c r="R3" s="206"/>
      <c r="S3" s="206"/>
      <c r="T3" s="1462" t="s">
        <v>528</v>
      </c>
      <c r="U3" s="1462"/>
      <c r="V3" s="1462"/>
      <c r="W3" s="1462"/>
      <c r="X3" s="1462"/>
      <c r="Y3" s="1462"/>
      <c r="Z3" s="1462"/>
      <c r="AA3" s="1462"/>
      <c r="AB3" s="1462"/>
      <c r="AC3" s="208"/>
      <c r="AD3" s="208"/>
    </row>
    <row r="4" spans="1:33">
      <c r="B4" s="1463" t="s">
        <v>372</v>
      </c>
      <c r="C4" s="1463"/>
      <c r="D4" s="1463"/>
      <c r="E4" s="1463"/>
      <c r="F4" s="1463"/>
      <c r="G4" s="1463"/>
      <c r="H4" s="1463"/>
      <c r="R4" s="206"/>
      <c r="S4" s="206"/>
      <c r="T4" s="1463" t="s">
        <v>372</v>
      </c>
      <c r="U4" s="1463"/>
      <c r="V4" s="1463"/>
      <c r="W4" s="1463"/>
      <c r="X4" s="1463"/>
      <c r="Y4" s="1463"/>
      <c r="Z4" s="1463"/>
      <c r="AA4" s="1463"/>
      <c r="AB4" s="1463"/>
      <c r="AC4" s="865"/>
      <c r="AD4" s="865"/>
    </row>
    <row r="5" spans="1:33" ht="16.5" thickBot="1">
      <c r="A5" s="9"/>
      <c r="B5" s="1467" t="s">
        <v>575</v>
      </c>
      <c r="C5" s="1467"/>
      <c r="D5" s="1462"/>
      <c r="E5" s="1462"/>
      <c r="F5" s="1462"/>
      <c r="G5" s="1462"/>
      <c r="H5" s="1462"/>
      <c r="R5" s="206"/>
      <c r="S5" s="206"/>
      <c r="T5" s="1462" t="s">
        <v>575</v>
      </c>
      <c r="U5" s="1462"/>
      <c r="V5" s="1462"/>
      <c r="W5" s="1462"/>
      <c r="X5" s="1462"/>
      <c r="Y5" s="1462"/>
      <c r="Z5" s="1462"/>
      <c r="AA5" s="1462"/>
      <c r="AB5" s="1462"/>
      <c r="AC5" s="208"/>
      <c r="AD5" s="208"/>
    </row>
    <row r="6" spans="1:33" ht="16.5" thickBot="1">
      <c r="A6" s="9"/>
      <c r="B6" s="855"/>
      <c r="C6" s="855"/>
      <c r="D6" s="855"/>
      <c r="E6" s="855"/>
      <c r="F6" s="855"/>
      <c r="G6" s="855"/>
      <c r="H6" s="855"/>
      <c r="I6" s="9"/>
      <c r="R6" s="206"/>
      <c r="S6" s="206"/>
      <c r="T6" s="1464" t="s">
        <v>523</v>
      </c>
      <c r="U6" s="1464"/>
      <c r="V6" s="1464"/>
      <c r="W6" s="1464"/>
      <c r="X6" s="1464"/>
      <c r="Y6" s="1464"/>
      <c r="Z6" s="1464"/>
      <c r="AA6" s="1464"/>
      <c r="AB6" s="1464"/>
      <c r="AC6" s="208"/>
      <c r="AD6" s="208"/>
      <c r="AE6" s="9"/>
    </row>
    <row r="7" spans="1:33" ht="12.75" customHeight="1">
      <c r="B7" s="1194" t="s">
        <v>8</v>
      </c>
      <c r="C7" s="1434" t="s">
        <v>228</v>
      </c>
      <c r="D7" s="1435"/>
      <c r="E7" s="1437" t="s">
        <v>229</v>
      </c>
      <c r="F7" s="1438"/>
      <c r="G7" s="1422" t="s">
        <v>230</v>
      </c>
      <c r="H7" s="1423"/>
      <c r="N7" s="1479" t="s">
        <v>376</v>
      </c>
      <c r="O7" s="1468" t="s">
        <v>373</v>
      </c>
      <c r="P7" s="1469"/>
      <c r="Q7" s="1470"/>
      <c r="R7" s="874"/>
      <c r="S7" s="874"/>
      <c r="T7" s="1458" t="s">
        <v>8</v>
      </c>
      <c r="U7" s="874"/>
      <c r="V7" s="1476" t="s">
        <v>234</v>
      </c>
      <c r="W7" s="1474" t="s">
        <v>235</v>
      </c>
      <c r="X7" s="1475"/>
      <c r="Y7" s="1474" t="s">
        <v>519</v>
      </c>
      <c r="Z7" s="1475"/>
      <c r="AA7" s="1454" t="s">
        <v>524</v>
      </c>
      <c r="AB7" s="1455"/>
      <c r="AC7" s="206"/>
      <c r="AD7" s="206"/>
    </row>
    <row r="8" spans="1:33">
      <c r="B8" s="1195"/>
      <c r="C8" s="1424"/>
      <c r="D8" s="1436"/>
      <c r="E8" s="1424"/>
      <c r="F8" s="1439"/>
      <c r="G8" s="1424"/>
      <c r="H8" s="1425"/>
      <c r="N8" s="1480"/>
      <c r="O8" s="1471"/>
      <c r="P8" s="1472"/>
      <c r="Q8" s="1473"/>
      <c r="R8" s="875"/>
      <c r="S8" s="875"/>
      <c r="T8" s="1459"/>
      <c r="U8" s="875"/>
      <c r="V8" s="1477"/>
      <c r="W8" s="1474"/>
      <c r="X8" s="1475"/>
      <c r="Y8" s="1474"/>
      <c r="Z8" s="1475"/>
      <c r="AA8" s="1456"/>
      <c r="AB8" s="1457"/>
      <c r="AC8" s="206"/>
      <c r="AD8" s="206"/>
    </row>
    <row r="9" spans="1:33">
      <c r="B9" s="1196"/>
      <c r="C9" s="399" t="s">
        <v>20</v>
      </c>
      <c r="D9" s="400" t="s">
        <v>233</v>
      </c>
      <c r="E9" s="401" t="s">
        <v>20</v>
      </c>
      <c r="F9" s="402" t="s">
        <v>233</v>
      </c>
      <c r="G9" s="403" t="s">
        <v>20</v>
      </c>
      <c r="H9" s="404" t="s">
        <v>233</v>
      </c>
      <c r="N9" s="411" t="s">
        <v>377</v>
      </c>
      <c r="O9" s="411" t="s">
        <v>158</v>
      </c>
      <c r="P9" s="412" t="s">
        <v>374</v>
      </c>
      <c r="Q9" s="412" t="s">
        <v>375</v>
      </c>
      <c r="R9" s="876"/>
      <c r="S9" s="876"/>
      <c r="T9" s="1460"/>
      <c r="U9" s="876"/>
      <c r="V9" s="1478"/>
      <c r="W9" s="866" t="s">
        <v>158</v>
      </c>
      <c r="X9" s="867" t="s">
        <v>374</v>
      </c>
      <c r="Y9" s="866" t="s">
        <v>158</v>
      </c>
      <c r="Z9" s="867" t="s">
        <v>374</v>
      </c>
      <c r="AA9" s="866" t="s">
        <v>158</v>
      </c>
      <c r="AB9" s="867" t="s">
        <v>374</v>
      </c>
      <c r="AC9" s="206"/>
      <c r="AD9" s="206"/>
    </row>
    <row r="10" spans="1:33">
      <c r="B10" s="398"/>
      <c r="C10" s="392"/>
      <c r="D10" s="392"/>
      <c r="E10" s="393"/>
      <c r="F10" s="393"/>
      <c r="G10" s="394"/>
      <c r="H10" s="395"/>
      <c r="R10" s="206"/>
      <c r="S10" s="206"/>
      <c r="T10" s="206"/>
      <c r="U10" s="206"/>
      <c r="V10" s="206"/>
      <c r="W10" s="206"/>
      <c r="X10" s="206"/>
      <c r="Y10" s="206"/>
      <c r="Z10" s="206"/>
      <c r="AA10" s="206"/>
      <c r="AB10" s="206"/>
      <c r="AC10" s="206"/>
      <c r="AD10" s="206"/>
    </row>
    <row r="11" spans="1:33">
      <c r="B11" s="398">
        <v>2010</v>
      </c>
      <c r="C11" s="396">
        <f>N11+O11</f>
        <v>74.966899999999995</v>
      </c>
      <c r="D11" s="392"/>
      <c r="E11" s="417">
        <f>N11+P11</f>
        <v>74.966899999999995</v>
      </c>
      <c r="F11" s="393"/>
      <c r="G11" s="409">
        <f>N11+Q11</f>
        <v>74.966899999999995</v>
      </c>
      <c r="H11" s="395"/>
      <c r="N11" s="416"/>
      <c r="O11" s="120">
        <f>'20-Bloque = Bocas'!F12</f>
        <v>74.966899999999995</v>
      </c>
      <c r="P11" s="120">
        <f>'20-Bloque = Bocas'!H12</f>
        <v>74.966899999999995</v>
      </c>
      <c r="Q11" s="120">
        <f>'20-Bloque = Bocas'!J12</f>
        <v>74.966899999999995</v>
      </c>
      <c r="R11" s="870"/>
      <c r="S11" s="870"/>
      <c r="T11" s="879">
        <v>2010</v>
      </c>
      <c r="U11" s="870"/>
      <c r="V11" s="206"/>
      <c r="W11" s="206"/>
      <c r="X11" s="206"/>
      <c r="Y11" s="868"/>
      <c r="Z11" s="868"/>
      <c r="AA11" s="868"/>
      <c r="AB11" s="868"/>
      <c r="AC11" s="206"/>
      <c r="AD11" s="880" t="e">
        <f>$C$11/#REF!</f>
        <v>#REF!</v>
      </c>
      <c r="AE11" s="39" t="e">
        <f>$E$11/#REF!</f>
        <v>#REF!</v>
      </c>
      <c r="AF11" s="39" t="e">
        <f>$G$11/#REF!</f>
        <v>#REF!</v>
      </c>
    </row>
    <row r="12" spans="1:33" ht="15">
      <c r="B12" s="398">
        <f t="shared" ref="B12:B22" si="0">+B11+1</f>
        <v>2011</v>
      </c>
      <c r="C12" s="396">
        <f>O12+V12+W12+Y12</f>
        <v>71.014589999999984</v>
      </c>
      <c r="D12" s="415">
        <f>(+C12-C11)/C11*100</f>
        <v>-5.2720734083975884</v>
      </c>
      <c r="E12" s="397">
        <f t="shared" ref="E12:E26" si="1">P12+V12+X12+Z12</f>
        <v>71.014589999999984</v>
      </c>
      <c r="F12" s="414">
        <f>(+E12-E11)/E11*100</f>
        <v>-5.2720734083975884</v>
      </c>
      <c r="G12" s="409">
        <f t="shared" ref="G12:G13" si="2">Q12+V12+W12+Y12</f>
        <v>71.014589999999984</v>
      </c>
      <c r="H12" s="413">
        <f>(+G12-G11)/G11*100</f>
        <v>-5.2720734083975884</v>
      </c>
      <c r="O12" s="120">
        <f>'20-Bloque = Bocas'!F13</f>
        <v>71.014589999999984</v>
      </c>
      <c r="P12" s="120">
        <f>'20-Bloque = Bocas'!H13</f>
        <v>71.014589999999984</v>
      </c>
      <c r="Q12" s="120">
        <f>'20-Bloque = Bocas'!J13</f>
        <v>71.014589999999984</v>
      </c>
      <c r="R12" s="870"/>
      <c r="S12" s="870"/>
      <c r="T12" s="879">
        <f>T11+1</f>
        <v>2011</v>
      </c>
      <c r="U12" s="870"/>
      <c r="V12" s="206"/>
      <c r="W12" s="206"/>
      <c r="X12" s="206"/>
      <c r="Y12" s="391">
        <v>0</v>
      </c>
      <c r="Z12" s="869">
        <v>0</v>
      </c>
      <c r="AA12" s="869">
        <f>V12+W12+Y12</f>
        <v>0</v>
      </c>
      <c r="AB12" s="869">
        <f>V12+X12+Z12</f>
        <v>0</v>
      </c>
      <c r="AC12" s="206"/>
      <c r="AD12" s="206"/>
    </row>
    <row r="13" spans="1:33" ht="15">
      <c r="B13" s="398">
        <f t="shared" si="0"/>
        <v>2012</v>
      </c>
      <c r="C13" s="396">
        <f>O13+V13+W13+Y13</f>
        <v>78.543472661437562</v>
      </c>
      <c r="D13" s="415">
        <f t="shared" ref="D13:D27" si="3">(+C13-C12)/C12*100</f>
        <v>10.60188147454992</v>
      </c>
      <c r="E13" s="397">
        <f t="shared" si="1"/>
        <v>78.543472661437562</v>
      </c>
      <c r="F13" s="414">
        <f t="shared" ref="F13:F27" si="4">(+E13-E12)/E12*100</f>
        <v>10.60188147454992</v>
      </c>
      <c r="G13" s="409">
        <f t="shared" si="2"/>
        <v>78.543472661437562</v>
      </c>
      <c r="H13" s="413">
        <f>(+G13-G12)/G12*100</f>
        <v>10.60188147454992</v>
      </c>
      <c r="O13" s="120">
        <f>'20-Bloque = Bocas'!F14</f>
        <v>78.543472661437562</v>
      </c>
      <c r="P13" s="120">
        <f>'20-Bloque = Bocas'!H14</f>
        <v>78.543472661437562</v>
      </c>
      <c r="Q13" s="120">
        <f>'20-Bloque = Bocas'!J14</f>
        <v>78.543472661437562</v>
      </c>
      <c r="R13" s="870"/>
      <c r="S13" s="870"/>
      <c r="T13" s="879">
        <f t="shared" ref="T13:T28" si="5">T12+1</f>
        <v>2012</v>
      </c>
      <c r="U13" s="870"/>
      <c r="V13" s="206"/>
      <c r="W13" s="206"/>
      <c r="X13" s="206"/>
      <c r="Y13" s="391"/>
      <c r="Z13" s="869"/>
      <c r="AA13" s="869"/>
      <c r="AB13" s="869"/>
      <c r="AC13" s="206"/>
      <c r="AD13" s="206"/>
    </row>
    <row r="14" spans="1:33" ht="15">
      <c r="B14" s="398">
        <f t="shared" si="0"/>
        <v>2013</v>
      </c>
      <c r="C14" s="396">
        <f t="shared" ref="C14:C26" si="6">O14+V14+W14+Y14</f>
        <v>155.98746164154667</v>
      </c>
      <c r="D14" s="415">
        <f t="shared" si="3"/>
        <v>98.600159065963652</v>
      </c>
      <c r="E14" s="397">
        <f t="shared" si="1"/>
        <v>172.52634164154668</v>
      </c>
      <c r="F14" s="414">
        <f t="shared" si="4"/>
        <v>119.6571348267516</v>
      </c>
      <c r="G14" s="409">
        <f>Q14+V14+W14+Y14</f>
        <v>155.98746164154667</v>
      </c>
      <c r="H14" s="413">
        <f t="shared" ref="H14:H27" si="7">(+G14-G13)/G13*100</f>
        <v>98.600159065963652</v>
      </c>
      <c r="O14" s="120">
        <f>'20-Bloque = Bocas'!F15</f>
        <v>81.466072100000005</v>
      </c>
      <c r="P14" s="120">
        <f>'20-Bloque = Bocas'!H15</f>
        <v>81.466072100000005</v>
      </c>
      <c r="Q14" s="120">
        <f>'20-Bloque = Bocas'!J15</f>
        <v>81.466072100000005</v>
      </c>
      <c r="R14" s="870"/>
      <c r="S14" s="870"/>
      <c r="T14" s="879">
        <f t="shared" si="5"/>
        <v>2013</v>
      </c>
      <c r="U14" s="870"/>
      <c r="V14" s="870">
        <v>56.74966666666667</v>
      </c>
      <c r="W14" s="206"/>
      <c r="X14" s="206"/>
      <c r="Y14" s="391">
        <v>17.771722874879991</v>
      </c>
      <c r="Z14" s="869">
        <v>34.310602874879997</v>
      </c>
      <c r="AA14" s="869">
        <f t="shared" ref="AA14:AA27" si="8">V14+W14+Y14</f>
        <v>74.521389541546654</v>
      </c>
      <c r="AB14" s="869">
        <f t="shared" ref="AB14:AB27" si="9">V14+X14+Z14</f>
        <v>91.06026954154666</v>
      </c>
      <c r="AC14" s="206"/>
      <c r="AD14" s="880"/>
      <c r="AE14" s="39"/>
      <c r="AF14" s="39"/>
    </row>
    <row r="15" spans="1:33" ht="15">
      <c r="B15" s="398">
        <f t="shared" si="0"/>
        <v>2014</v>
      </c>
      <c r="C15" s="396">
        <f t="shared" si="6"/>
        <v>220.00853461581966</v>
      </c>
      <c r="D15" s="415">
        <f t="shared" si="3"/>
        <v>41.042448092008193</v>
      </c>
      <c r="E15" s="397">
        <f t="shared" si="1"/>
        <v>223.51253461581965</v>
      </c>
      <c r="F15" s="414">
        <f t="shared" si="4"/>
        <v>29.552700468317823</v>
      </c>
      <c r="G15" s="409">
        <f t="shared" ref="G15:G27" si="10">Q15+V15+W15+Y15</f>
        <v>220.00853461581966</v>
      </c>
      <c r="H15" s="413">
        <f t="shared" si="7"/>
        <v>41.042448092008193</v>
      </c>
      <c r="O15" s="120">
        <f>'20-Bloque = Bocas'!F16</f>
        <v>82.688063181499984</v>
      </c>
      <c r="P15" s="120">
        <f>'20-Bloque = Bocas'!H16</f>
        <v>82.688063181499984</v>
      </c>
      <c r="Q15" s="120">
        <f>'20-Bloque = Bocas'!J16</f>
        <v>82.688063181499984</v>
      </c>
      <c r="R15" s="870"/>
      <c r="S15" s="870"/>
      <c r="T15" s="879">
        <f t="shared" si="5"/>
        <v>2014</v>
      </c>
      <c r="U15" s="870"/>
      <c r="V15" s="870">
        <v>58.041444444444451</v>
      </c>
      <c r="W15" s="870">
        <v>47.1</v>
      </c>
      <c r="X15" s="870">
        <v>47.1</v>
      </c>
      <c r="Y15" s="391">
        <v>32.179026989875197</v>
      </c>
      <c r="Z15" s="869">
        <v>35.683026989875195</v>
      </c>
      <c r="AA15" s="869">
        <f t="shared" si="8"/>
        <v>137.32047143431964</v>
      </c>
      <c r="AB15" s="869">
        <f t="shared" si="9"/>
        <v>140.82447143431966</v>
      </c>
      <c r="AC15" s="206"/>
      <c r="AD15" s="206"/>
      <c r="AE15" s="39">
        <f>RATE($B$15-$B$11,,-C11,C15)</f>
        <v>0.30885788592188379</v>
      </c>
      <c r="AF15" s="39">
        <f>RATE($B$15-$B$11,,-E11,E15)</f>
        <v>0.31403847866530393</v>
      </c>
      <c r="AG15" s="39">
        <f>RATE($B$15-B11,,-G11,G15)</f>
        <v>0.30885788592188379</v>
      </c>
    </row>
    <row r="16" spans="1:33" ht="15">
      <c r="B16" s="398">
        <f t="shared" si="0"/>
        <v>2015</v>
      </c>
      <c r="C16" s="396">
        <f t="shared" si="6"/>
        <v>223.6367944209149</v>
      </c>
      <c r="D16" s="415">
        <f t="shared" si="3"/>
        <v>1.649145025864988</v>
      </c>
      <c r="E16" s="397">
        <f t="shared" si="1"/>
        <v>268.12921362737598</v>
      </c>
      <c r="F16" s="414">
        <f t="shared" si="4"/>
        <v>19.961600403415797</v>
      </c>
      <c r="G16" s="409">
        <f t="shared" si="10"/>
        <v>221.53858481768432</v>
      </c>
      <c r="H16" s="413">
        <f t="shared" si="7"/>
        <v>0.69545038538457238</v>
      </c>
      <c r="O16" s="120">
        <f>'20-Bloque = Bocas'!F17</f>
        <v>83.928384129222465</v>
      </c>
      <c r="P16" s="120">
        <f>'20-Bloque = Bocas'!H17</f>
        <v>88.124803335683595</v>
      </c>
      <c r="Q16" s="120">
        <f>'20-Bloque = Bocas'!J17</f>
        <v>81.830174525991907</v>
      </c>
      <c r="R16" s="870"/>
      <c r="S16" s="870"/>
      <c r="T16" s="879">
        <f t="shared" si="5"/>
        <v>2015</v>
      </c>
      <c r="U16" s="870"/>
      <c r="V16" s="870">
        <v>59.142222222222223</v>
      </c>
      <c r="W16" s="870">
        <v>47.1</v>
      </c>
      <c r="X16" s="870">
        <v>47.1</v>
      </c>
      <c r="Y16" s="391">
        <v>33.466188069470199</v>
      </c>
      <c r="Z16" s="869">
        <v>73.762188069470199</v>
      </c>
      <c r="AA16" s="869">
        <f t="shared" si="8"/>
        <v>139.70841029169242</v>
      </c>
      <c r="AB16" s="869">
        <f t="shared" si="9"/>
        <v>180.00441029169241</v>
      </c>
      <c r="AC16" s="206"/>
      <c r="AD16" s="206"/>
      <c r="AE16" s="39"/>
      <c r="AF16" s="39"/>
      <c r="AG16" s="39"/>
    </row>
    <row r="17" spans="2:33" ht="15">
      <c r="B17" s="398">
        <f t="shared" si="0"/>
        <v>2016</v>
      </c>
      <c r="C17" s="396">
        <f t="shared" si="6"/>
        <v>232.23408747241615</v>
      </c>
      <c r="D17" s="415">
        <f t="shared" si="3"/>
        <v>3.8443106259697037</v>
      </c>
      <c r="E17" s="397">
        <f t="shared" si="1"/>
        <v>286.00653451086896</v>
      </c>
      <c r="F17" s="414">
        <f t="shared" si="4"/>
        <v>6.6674274845475887</v>
      </c>
      <c r="G17" s="409">
        <f t="shared" si="10"/>
        <v>230.10178395318974</v>
      </c>
      <c r="H17" s="413">
        <f t="shared" si="7"/>
        <v>3.8653307921744275</v>
      </c>
      <c r="O17" s="120">
        <f>'20-Bloque = Bocas'!F18</f>
        <v>85.292140769056019</v>
      </c>
      <c r="P17" s="120">
        <f>'20-Bloque = Bocas'!H18</f>
        <v>89.556747807508827</v>
      </c>
      <c r="Q17" s="120">
        <f>'20-Bloque = Bocas'!J18</f>
        <v>83.159837249829621</v>
      </c>
      <c r="R17" s="870"/>
      <c r="S17" s="870"/>
      <c r="T17" s="879">
        <f t="shared" si="5"/>
        <v>2016</v>
      </c>
      <c r="U17" s="870"/>
      <c r="V17" s="870">
        <v>60.337111111111113</v>
      </c>
      <c r="W17" s="870">
        <v>51.8</v>
      </c>
      <c r="X17" s="870">
        <v>59.4</v>
      </c>
      <c r="Y17" s="391">
        <v>34.804835592249006</v>
      </c>
      <c r="Z17" s="869">
        <v>76.712675592248999</v>
      </c>
      <c r="AA17" s="869">
        <f t="shared" si="8"/>
        <v>146.94194670336012</v>
      </c>
      <c r="AB17" s="869">
        <f t="shared" si="9"/>
        <v>196.44978670336013</v>
      </c>
      <c r="AC17" s="206"/>
      <c r="AD17" s="206"/>
      <c r="AE17" s="39"/>
      <c r="AF17" s="39"/>
      <c r="AG17" s="39"/>
    </row>
    <row r="18" spans="2:33" ht="15">
      <c r="B18" s="398">
        <f t="shared" si="0"/>
        <v>2017</v>
      </c>
      <c r="C18" s="396">
        <f t="shared" si="6"/>
        <v>241.19044078541972</v>
      </c>
      <c r="D18" s="415">
        <f t="shared" si="3"/>
        <v>3.8566058111806587</v>
      </c>
      <c r="E18" s="397">
        <f t="shared" si="1"/>
        <v>301.73174667347894</v>
      </c>
      <c r="F18" s="414">
        <f t="shared" si="4"/>
        <v>5.4982003084311986</v>
      </c>
      <c r="G18" s="409">
        <f t="shared" si="10"/>
        <v>239.02615271340491</v>
      </c>
      <c r="H18" s="413">
        <f t="shared" si="7"/>
        <v>3.8784439680966072</v>
      </c>
      <c r="O18" s="120">
        <f>'20-Bloque = Bocas'!F19</f>
        <v>86.571522880591857</v>
      </c>
      <c r="P18" s="120">
        <f>'20-Bloque = Bocas'!H19</f>
        <v>95.228675168651051</v>
      </c>
      <c r="Q18" s="120">
        <f>'20-Bloque = Bocas'!J19</f>
        <v>84.407234808577059</v>
      </c>
      <c r="R18" s="870"/>
      <c r="S18" s="870"/>
      <c r="T18" s="879">
        <f t="shared" si="5"/>
        <v>2017</v>
      </c>
      <c r="U18" s="870"/>
      <c r="V18" s="870">
        <v>61.421888888888887</v>
      </c>
      <c r="W18" s="870">
        <v>57</v>
      </c>
      <c r="X18" s="870">
        <v>65.3</v>
      </c>
      <c r="Y18" s="391">
        <v>36.197029015938959</v>
      </c>
      <c r="Z18" s="869">
        <v>79.781182615938945</v>
      </c>
      <c r="AA18" s="869">
        <f t="shared" si="8"/>
        <v>154.61891790482784</v>
      </c>
      <c r="AB18" s="869">
        <f t="shared" si="9"/>
        <v>206.50307150482783</v>
      </c>
      <c r="AC18" s="206"/>
      <c r="AD18" s="206"/>
      <c r="AE18" s="39"/>
      <c r="AF18" s="39"/>
      <c r="AG18" s="39"/>
    </row>
    <row r="19" spans="2:33" ht="15">
      <c r="B19" s="398">
        <f t="shared" si="0"/>
        <v>2018</v>
      </c>
      <c r="C19" s="396">
        <f t="shared" si="6"/>
        <v>250.84678367815505</v>
      </c>
      <c r="D19" s="415">
        <f t="shared" si="3"/>
        <v>4.0036175817292436</v>
      </c>
      <c r="E19" s="397">
        <f t="shared" si="1"/>
        <v>370.66131299453519</v>
      </c>
      <c r="F19" s="414">
        <f t="shared" si="4"/>
        <v>22.844651608916994</v>
      </c>
      <c r="G19" s="409">
        <f t="shared" si="10"/>
        <v>248.65003128506001</v>
      </c>
      <c r="H19" s="413">
        <f t="shared" si="7"/>
        <v>4.0262868570679959</v>
      </c>
      <c r="O19" s="120">
        <f>'20-Bloque = Bocas'!F20</f>
        <v>87.870095723800745</v>
      </c>
      <c r="P19" s="120">
        <f>'20-Bloque = Bocas'!H20</f>
        <v>96.657105296180831</v>
      </c>
      <c r="Q19" s="120">
        <f>'20-Bloque = Bocas'!J20</f>
        <v>85.67334333070572</v>
      </c>
      <c r="R19" s="870"/>
      <c r="S19" s="870"/>
      <c r="T19" s="879">
        <f t="shared" si="5"/>
        <v>2018</v>
      </c>
      <c r="U19" s="870"/>
      <c r="V19" s="870">
        <v>62.631777777777785</v>
      </c>
      <c r="W19" s="870">
        <v>62.7</v>
      </c>
      <c r="X19" s="870">
        <v>128.4</v>
      </c>
      <c r="Y19" s="391">
        <v>37.644910176576531</v>
      </c>
      <c r="Z19" s="869">
        <v>82.972429920576516</v>
      </c>
      <c r="AA19" s="869">
        <f t="shared" si="8"/>
        <v>162.9766879543543</v>
      </c>
      <c r="AB19" s="869">
        <f t="shared" si="9"/>
        <v>274.00420769835432</v>
      </c>
      <c r="AC19" s="206"/>
      <c r="AD19" s="206"/>
      <c r="AE19" s="39"/>
      <c r="AF19" s="39"/>
      <c r="AG19" s="39"/>
    </row>
    <row r="20" spans="2:33" ht="15">
      <c r="B20" s="398">
        <f t="shared" si="0"/>
        <v>2019</v>
      </c>
      <c r="C20" s="396">
        <f t="shared" si="6"/>
        <v>261.17252040996402</v>
      </c>
      <c r="D20" s="415">
        <f t="shared" si="3"/>
        <v>4.1163520537928227</v>
      </c>
      <c r="E20" s="397">
        <f t="shared" si="1"/>
        <v>388.0319556596898</v>
      </c>
      <c r="F20" s="414">
        <f t="shared" si="4"/>
        <v>4.6863921472729224</v>
      </c>
      <c r="G20" s="409">
        <f t="shared" si="10"/>
        <v>258.94281673097254</v>
      </c>
      <c r="H20" s="413">
        <f t="shared" si="7"/>
        <v>4.1394667809683741</v>
      </c>
      <c r="O20" s="120">
        <f>'20-Bloque = Bocas'!F21</f>
        <v>89.188147159657731</v>
      </c>
      <c r="P20" s="120">
        <f>'20-Bloque = Bocas'!H21</f>
        <v>98.106961875623512</v>
      </c>
      <c r="Q20" s="120">
        <f>'20-Bloque = Bocas'!J21</f>
        <v>86.95844348066629</v>
      </c>
      <c r="R20" s="870"/>
      <c r="S20" s="870"/>
      <c r="T20" s="879">
        <f t="shared" si="5"/>
        <v>2019</v>
      </c>
      <c r="U20" s="870"/>
      <c r="V20" s="870">
        <v>63.833666666666673</v>
      </c>
      <c r="W20" s="870">
        <v>69</v>
      </c>
      <c r="X20" s="870">
        <v>139.80000000000001</v>
      </c>
      <c r="Y20" s="391">
        <v>39.15070658363959</v>
      </c>
      <c r="Z20" s="869">
        <v>86.291327117399575</v>
      </c>
      <c r="AA20" s="869">
        <f t="shared" si="8"/>
        <v>171.98437325030625</v>
      </c>
      <c r="AB20" s="869">
        <f t="shared" si="9"/>
        <v>289.92499378406626</v>
      </c>
      <c r="AC20" s="206"/>
      <c r="AD20" s="206"/>
      <c r="AE20" s="39"/>
      <c r="AF20" s="39"/>
      <c r="AG20" s="39"/>
    </row>
    <row r="21" spans="2:33" ht="15">
      <c r="B21" s="398">
        <f t="shared" si="0"/>
        <v>2020</v>
      </c>
      <c r="C21" s="396">
        <f t="shared" si="6"/>
        <v>354.45131374934374</v>
      </c>
      <c r="D21" s="415">
        <f t="shared" si="3"/>
        <v>35.71539348510305</v>
      </c>
      <c r="E21" s="397">
        <f t="shared" si="1"/>
        <v>408.17210206140896</v>
      </c>
      <c r="F21" s="414">
        <f t="shared" si="4"/>
        <v>5.1903319064222622</v>
      </c>
      <c r="G21" s="409">
        <f t="shared" si="10"/>
        <v>352.18816451516744</v>
      </c>
      <c r="H21" s="413">
        <f t="shared" si="7"/>
        <v>36.010015246366819</v>
      </c>
      <c r="O21" s="120">
        <f>'20-Bloque = Bocas'!F22</f>
        <v>90.525969367052582</v>
      </c>
      <c r="P21" s="120">
        <f>'20-Bloque = Bocas'!H22</f>
        <v>99.578566303757853</v>
      </c>
      <c r="Q21" s="120">
        <f>'20-Bloque = Bocas'!J22</f>
        <v>88.262820132876271</v>
      </c>
      <c r="R21" s="870"/>
      <c r="S21" s="870"/>
      <c r="T21" s="879">
        <f t="shared" si="5"/>
        <v>2020</v>
      </c>
      <c r="U21" s="870"/>
      <c r="V21" s="870">
        <v>67.850555555555559</v>
      </c>
      <c r="W21" s="870">
        <v>134.80000000000001</v>
      </c>
      <c r="X21" s="870">
        <v>151</v>
      </c>
      <c r="Y21" s="391">
        <v>61.274788826735559</v>
      </c>
      <c r="Z21" s="869">
        <v>89.742980202095566</v>
      </c>
      <c r="AA21" s="869">
        <f t="shared" si="8"/>
        <v>263.92534438229114</v>
      </c>
      <c r="AB21" s="869">
        <f t="shared" si="9"/>
        <v>308.59353575765113</v>
      </c>
      <c r="AC21" s="206"/>
      <c r="AD21" s="206"/>
      <c r="AE21" s="39"/>
      <c r="AF21" s="39"/>
      <c r="AG21" s="39"/>
    </row>
    <row r="22" spans="2:33" ht="15">
      <c r="B22" s="398">
        <f t="shared" si="0"/>
        <v>2021</v>
      </c>
      <c r="C22" s="396">
        <f t="shared" si="6"/>
        <v>373.45844704647163</v>
      </c>
      <c r="D22" s="415">
        <f t="shared" si="3"/>
        <v>5.3624101702636402</v>
      </c>
      <c r="E22" s="397">
        <f t="shared" si="1"/>
        <v>423.62626607684604</v>
      </c>
      <c r="F22" s="414">
        <f t="shared" si="4"/>
        <v>3.7861882126162585</v>
      </c>
      <c r="G22" s="409">
        <f t="shared" si="10"/>
        <v>371.11822204647166</v>
      </c>
      <c r="H22" s="413">
        <f t="shared" si="7"/>
        <v>5.3749840109942042</v>
      </c>
      <c r="O22" s="120">
        <f>'20-Bloque = Bocas'!F23</f>
        <v>93.608999999999995</v>
      </c>
      <c r="P22" s="120">
        <f>'20-Bloque = Bocas'!H23</f>
        <v>102.9699</v>
      </c>
      <c r="Q22" s="120">
        <f>'20-Bloque = Bocas'!J23</f>
        <v>91.268774999999991</v>
      </c>
      <c r="R22" s="870"/>
      <c r="S22" s="870"/>
      <c r="T22" s="879">
        <f t="shared" si="5"/>
        <v>2021</v>
      </c>
      <c r="U22" s="870"/>
      <c r="V22" s="870">
        <v>76.323666666666668</v>
      </c>
      <c r="W22" s="870">
        <v>139.80000000000001</v>
      </c>
      <c r="X22" s="870">
        <v>151</v>
      </c>
      <c r="Y22" s="391">
        <v>63.725780379804988</v>
      </c>
      <c r="Z22" s="869">
        <v>93.332699410179401</v>
      </c>
      <c r="AA22" s="869">
        <f t="shared" si="8"/>
        <v>279.84944704647165</v>
      </c>
      <c r="AB22" s="869">
        <f t="shared" si="9"/>
        <v>320.6563660768461</v>
      </c>
      <c r="AC22" s="206"/>
      <c r="AD22" s="206"/>
      <c r="AE22" s="39"/>
      <c r="AF22" s="39"/>
      <c r="AG22" s="39"/>
    </row>
    <row r="23" spans="2:33" ht="15">
      <c r="B23" s="398">
        <f t="shared" ref="B23:B28" si="11">+B22+1</f>
        <v>2022</v>
      </c>
      <c r="C23" s="396">
        <f t="shared" si="6"/>
        <v>382.58666953944163</v>
      </c>
      <c r="D23" s="415">
        <f t="shared" si="3"/>
        <v>2.4442404677578811</v>
      </c>
      <c r="E23" s="397">
        <f t="shared" si="1"/>
        <v>433.85280668103104</v>
      </c>
      <c r="F23" s="414">
        <f t="shared" si="4"/>
        <v>2.4140478112681296</v>
      </c>
      <c r="G23" s="409">
        <f t="shared" si="10"/>
        <v>380.24293420194164</v>
      </c>
      <c r="H23" s="413">
        <f t="shared" si="7"/>
        <v>2.4587076606352616</v>
      </c>
      <c r="O23" s="120">
        <f>'20-Bloque = Bocas'!F24</f>
        <v>93.749413500000003</v>
      </c>
      <c r="P23" s="120">
        <f>'20-Bloque = Bocas'!H24</f>
        <v>103.12435485000002</v>
      </c>
      <c r="Q23" s="120">
        <f>'20-Bloque = Bocas'!J24</f>
        <v>91.405678162499996</v>
      </c>
      <c r="R23" s="870"/>
      <c r="S23" s="870"/>
      <c r="T23" s="879">
        <f t="shared" si="5"/>
        <v>2022</v>
      </c>
      <c r="U23" s="870"/>
      <c r="V23" s="870">
        <v>77.462444444444458</v>
      </c>
      <c r="W23" s="870">
        <v>145.1</v>
      </c>
      <c r="X23" s="870">
        <v>156.19999999999999</v>
      </c>
      <c r="Y23" s="391">
        <v>66.274811594997175</v>
      </c>
      <c r="Z23" s="869">
        <v>97.066007386586591</v>
      </c>
      <c r="AA23" s="869">
        <f t="shared" si="8"/>
        <v>288.83725603944163</v>
      </c>
      <c r="AB23" s="869">
        <f t="shared" si="9"/>
        <v>330.72845183103107</v>
      </c>
      <c r="AC23" s="206"/>
      <c r="AD23" s="206"/>
      <c r="AE23" s="39"/>
      <c r="AF23" s="39"/>
      <c r="AG23" s="39"/>
    </row>
    <row r="24" spans="2:33" ht="15">
      <c r="B24" s="398">
        <f t="shared" si="11"/>
        <v>2023</v>
      </c>
      <c r="C24" s="396">
        <f t="shared" si="6"/>
        <v>394.03559396351926</v>
      </c>
      <c r="D24" s="415">
        <f t="shared" si="3"/>
        <v>2.9925047931910078</v>
      </c>
      <c r="E24" s="397">
        <f t="shared" si="1"/>
        <v>442.40919435502224</v>
      </c>
      <c r="F24" s="414">
        <f t="shared" si="4"/>
        <v>1.972186774461012</v>
      </c>
      <c r="G24" s="409">
        <f t="shared" si="10"/>
        <v>391.64790477145675</v>
      </c>
      <c r="H24" s="413">
        <f t="shared" si="7"/>
        <v>2.9993905326477668</v>
      </c>
      <c r="O24" s="120">
        <f>'20-Bloque = Bocas'!F25</f>
        <v>95.507567682499982</v>
      </c>
      <c r="P24" s="120">
        <f>'20-Bloque = Bocas'!H25</f>
        <v>105.05832445074999</v>
      </c>
      <c r="Q24" s="120">
        <f>'20-Bloque = Bocas'!J25</f>
        <v>93.119878490437486</v>
      </c>
      <c r="R24" s="870"/>
      <c r="S24" s="870"/>
      <c r="T24" s="879">
        <f t="shared" si="5"/>
        <v>2023</v>
      </c>
      <c r="U24" s="870"/>
      <c r="V24" s="870">
        <v>78.602222222222224</v>
      </c>
      <c r="W24" s="870">
        <v>151</v>
      </c>
      <c r="X24" s="870">
        <v>157.80000000000001</v>
      </c>
      <c r="Y24" s="391">
        <v>68.925804058797041</v>
      </c>
      <c r="Z24" s="869">
        <v>100.94864768205004</v>
      </c>
      <c r="AA24" s="869">
        <f t="shared" si="8"/>
        <v>298.52802628101927</v>
      </c>
      <c r="AB24" s="869">
        <f t="shared" si="9"/>
        <v>337.35086990427226</v>
      </c>
      <c r="AC24" s="206"/>
      <c r="AD24" s="206"/>
      <c r="AE24" s="39"/>
      <c r="AF24" s="39"/>
      <c r="AG24" s="39"/>
    </row>
    <row r="25" spans="2:33" ht="15">
      <c r="B25" s="398">
        <f t="shared" si="11"/>
        <v>2024</v>
      </c>
      <c r="C25" s="396">
        <f t="shared" si="6"/>
        <v>404.92190166848644</v>
      </c>
      <c r="D25" s="415">
        <f t="shared" si="3"/>
        <v>2.7627726712361573</v>
      </c>
      <c r="E25" s="397">
        <f t="shared" si="1"/>
        <v>451.15556558140338</v>
      </c>
      <c r="F25" s="414">
        <f t="shared" si="4"/>
        <v>1.9769867665459053</v>
      </c>
      <c r="G25" s="409">
        <f t="shared" si="10"/>
        <v>402.48942503230296</v>
      </c>
      <c r="H25" s="413">
        <f t="shared" si="7"/>
        <v>2.7681803295163032</v>
      </c>
      <c r="O25" s="120">
        <f>'20-Bloque = Bocas'!F26</f>
        <v>97.299065447337512</v>
      </c>
      <c r="P25" s="120">
        <f>'20-Bloque = Bocas'!H26</f>
        <v>107.02897199207128</v>
      </c>
      <c r="Q25" s="120">
        <f>'20-Bloque = Bocas'!J26</f>
        <v>94.866588811154074</v>
      </c>
      <c r="R25" s="870"/>
      <c r="S25" s="870"/>
      <c r="T25" s="879">
        <f t="shared" si="5"/>
        <v>2024</v>
      </c>
      <c r="U25" s="870"/>
      <c r="V25" s="870">
        <v>79.739999999999995</v>
      </c>
      <c r="W25" s="870">
        <v>156.19999999999999</v>
      </c>
      <c r="X25" s="870">
        <v>159.4</v>
      </c>
      <c r="Y25" s="391">
        <v>71.682836221148932</v>
      </c>
      <c r="Z25" s="869">
        <v>104.98659358933205</v>
      </c>
      <c r="AA25" s="869">
        <f t="shared" si="8"/>
        <v>307.62283622114893</v>
      </c>
      <c r="AB25" s="869">
        <f t="shared" si="9"/>
        <v>344.12659358933206</v>
      </c>
      <c r="AC25" s="206"/>
      <c r="AD25" s="206"/>
      <c r="AE25" s="39"/>
      <c r="AF25" s="39"/>
      <c r="AG25" s="39"/>
    </row>
    <row r="26" spans="2:33" ht="15">
      <c r="B26" s="398">
        <f t="shared" si="11"/>
        <v>2025</v>
      </c>
      <c r="C26" s="396">
        <f t="shared" si="6"/>
        <v>412.45354081141227</v>
      </c>
      <c r="D26" s="415">
        <f t="shared" si="3"/>
        <v>1.8600226640968542</v>
      </c>
      <c r="E26" s="397">
        <f t="shared" si="1"/>
        <v>460.20190981068669</v>
      </c>
      <c r="F26" s="414">
        <f t="shared" si="4"/>
        <v>2.0051496466912249</v>
      </c>
      <c r="G26" s="409">
        <f t="shared" si="10"/>
        <v>409.97542547732132</v>
      </c>
      <c r="H26" s="413">
        <f t="shared" si="7"/>
        <v>1.8599247531578131</v>
      </c>
      <c r="O26" s="120">
        <f>'20-Bloque = Bocas'!F27</f>
        <v>99.124613363639568</v>
      </c>
      <c r="P26" s="120">
        <f>'20-Bloque = Bocas'!H27</f>
        <v>109.03707470000353</v>
      </c>
      <c r="Q26" s="120">
        <f>'20-Bloque = Bocas'!J27</f>
        <v>96.646498029548582</v>
      </c>
      <c r="R26" s="877"/>
      <c r="S26" s="877"/>
      <c r="T26" s="879">
        <f t="shared" si="5"/>
        <v>2025</v>
      </c>
      <c r="U26" s="877"/>
      <c r="V26" s="870">
        <v>80.978777777777793</v>
      </c>
      <c r="W26" s="870">
        <v>157.80000000000001</v>
      </c>
      <c r="X26" s="870">
        <v>161</v>
      </c>
      <c r="Y26" s="391">
        <v>74.550149669994909</v>
      </c>
      <c r="Z26" s="869">
        <v>109.18605733290535</v>
      </c>
      <c r="AA26" s="869">
        <f t="shared" si="8"/>
        <v>313.32892744777268</v>
      </c>
      <c r="AB26" s="869">
        <f t="shared" si="9"/>
        <v>351.16483511068316</v>
      </c>
      <c r="AC26" s="206"/>
      <c r="AD26" s="206"/>
      <c r="AE26" s="39">
        <f>RATE($B$26-$B$15,,-C15,C26)</f>
        <v>5.8796065767228407E-2</v>
      </c>
      <c r="AF26" s="39">
        <f>RATE($B$26-$B$15,,-E15,E26)</f>
        <v>6.7857546639901761E-2</v>
      </c>
      <c r="AG26" s="39">
        <f>RATE($B$26-$B$15,,-G15,G26)</f>
        <v>5.821616310552425E-2</v>
      </c>
    </row>
    <row r="27" spans="2:33" ht="15">
      <c r="B27" s="398">
        <f t="shared" si="11"/>
        <v>2026</v>
      </c>
      <c r="C27" s="396">
        <f>O27+V27+W27+Y27</f>
        <v>419.96086197053631</v>
      </c>
      <c r="D27" s="415">
        <f t="shared" si="3"/>
        <v>1.820161646413565</v>
      </c>
      <c r="E27" s="397">
        <f>P27+V27+X27+Z27</f>
        <v>469.28069293996316</v>
      </c>
      <c r="F27" s="414">
        <f t="shared" si="4"/>
        <v>1.9727825842815849</v>
      </c>
      <c r="G27" s="409">
        <f t="shared" si="10"/>
        <v>417.43624022053626</v>
      </c>
      <c r="H27" s="413">
        <f t="shared" si="7"/>
        <v>1.8198199890953344</v>
      </c>
      <c r="O27" s="120">
        <f>'20-Bloque = Bocas'!F28</f>
        <v>100.98487</v>
      </c>
      <c r="P27" s="120">
        <f>'20-Bloque = Bocas'!H28</f>
        <v>111.08335700000001</v>
      </c>
      <c r="Q27" s="120">
        <f>'20-Bloque = Bocas'!J28</f>
        <v>98.460248249999992</v>
      </c>
      <c r="R27" s="877"/>
      <c r="S27" s="877"/>
      <c r="T27" s="879">
        <f t="shared" si="5"/>
        <v>2026</v>
      </c>
      <c r="U27" s="877"/>
      <c r="V27" s="870">
        <v>82.043836313741593</v>
      </c>
      <c r="W27" s="870">
        <v>159.4</v>
      </c>
      <c r="X27" s="870">
        <v>162.6</v>
      </c>
      <c r="Y27" s="391">
        <v>77.5321556567947</v>
      </c>
      <c r="Z27" s="869">
        <v>113.55349962622157</v>
      </c>
      <c r="AA27" s="869">
        <f t="shared" si="8"/>
        <v>318.97599197053631</v>
      </c>
      <c r="AB27" s="869">
        <f t="shared" si="9"/>
        <v>358.19733593996318</v>
      </c>
      <c r="AC27" s="206"/>
      <c r="AD27" s="880"/>
      <c r="AE27" s="39"/>
      <c r="AF27" s="39"/>
    </row>
    <row r="28" spans="2:33" ht="15">
      <c r="B28" s="398">
        <f t="shared" si="11"/>
        <v>2027</v>
      </c>
      <c r="C28" s="396">
        <f>O28+V28+W28+Y28</f>
        <v>427.73693973726603</v>
      </c>
      <c r="D28" s="415">
        <f>(+C28-C27)/C27*100</f>
        <v>1.8516196319444806</v>
      </c>
      <c r="E28" s="397">
        <f>P28+V28+X28+Z28</f>
        <v>478.68747602106993</v>
      </c>
      <c r="F28" s="414">
        <f>(+E28-E27)/E27*100</f>
        <v>2.0045109936602934</v>
      </c>
      <c r="G28" s="409">
        <f>Q28+V28+W28+Y28</f>
        <v>425.16485509836599</v>
      </c>
      <c r="H28" s="413">
        <f>(+G28-G27)/G27*100</f>
        <v>1.8514479896969687</v>
      </c>
      <c r="O28" s="120">
        <f>'20-Bloque = Bocas'!F29</f>
        <v>102.88338555599999</v>
      </c>
      <c r="P28" s="120">
        <f>'20-Bloque = Bocas'!H29</f>
        <v>113.1717241116</v>
      </c>
      <c r="Q28" s="120">
        <f>'20-Bloque = Bocas'!J29</f>
        <v>100.31130091709998</v>
      </c>
      <c r="R28" s="877"/>
      <c r="S28" s="877"/>
      <c r="T28" s="879">
        <f t="shared" si="5"/>
        <v>2027</v>
      </c>
      <c r="U28" s="877"/>
      <c r="V28" s="870">
        <v>83.220112298199524</v>
      </c>
      <c r="W28" s="877">
        <v>161</v>
      </c>
      <c r="X28" s="877">
        <v>164.2</v>
      </c>
      <c r="Y28" s="391">
        <v>80.63344188306651</v>
      </c>
      <c r="Z28" s="869">
        <v>118.09563961127044</v>
      </c>
      <c r="AA28" s="869">
        <f>V28+W28+Y28</f>
        <v>324.85355418126602</v>
      </c>
      <c r="AB28" s="869">
        <f>V28+X28+Z28</f>
        <v>365.51575190946994</v>
      </c>
      <c r="AC28" s="206"/>
      <c r="AD28" s="880"/>
      <c r="AE28" s="39"/>
      <c r="AF28" s="39"/>
    </row>
    <row r="29" spans="2:33">
      <c r="B29" s="398"/>
      <c r="C29" s="396"/>
      <c r="D29" s="392"/>
      <c r="E29" s="393"/>
      <c r="F29" s="393"/>
      <c r="G29" s="394"/>
      <c r="H29" s="395"/>
      <c r="O29" s="430"/>
      <c r="P29" s="894"/>
      <c r="Q29" s="430"/>
      <c r="R29" s="878"/>
      <c r="S29" s="878"/>
      <c r="T29" s="878"/>
      <c r="U29" s="878"/>
      <c r="V29" s="878"/>
      <c r="W29" s="878"/>
      <c r="X29" s="878"/>
      <c r="Y29" s="878"/>
      <c r="Z29" s="878"/>
      <c r="AA29" s="878"/>
      <c r="AB29" s="878"/>
      <c r="AC29" s="206"/>
      <c r="AD29" s="206"/>
    </row>
    <row r="30" spans="2:33">
      <c r="B30" s="1465" t="s">
        <v>232</v>
      </c>
      <c r="C30" s="405"/>
      <c r="D30" s="405"/>
      <c r="E30" s="406"/>
      <c r="F30" s="406"/>
      <c r="G30" s="407"/>
      <c r="H30" s="408"/>
      <c r="R30" s="206"/>
      <c r="S30" s="206"/>
      <c r="T30" s="206"/>
      <c r="U30" s="206"/>
      <c r="V30" s="206"/>
      <c r="W30" s="206"/>
      <c r="X30" s="206"/>
      <c r="Y30" s="206"/>
      <c r="Z30" s="206"/>
      <c r="AA30" s="206"/>
      <c r="AB30" s="206"/>
      <c r="AC30" s="206"/>
      <c r="AD30" s="206"/>
    </row>
    <row r="31" spans="2:33" ht="13.5" thickBot="1">
      <c r="B31" s="1466"/>
      <c r="C31" s="149">
        <f>(C27/C11)-1</f>
        <v>4.6019504870887866</v>
      </c>
      <c r="D31" s="150">
        <f>ROUND((C26/C11)^(1/($B$26-$B$11))-1,4)</f>
        <v>0.12039999999999999</v>
      </c>
      <c r="E31" s="151">
        <f>(E27/E11)-1</f>
        <v>5.259838581293387</v>
      </c>
      <c r="F31" s="152">
        <f>ROUND((E26/E11)^(1/($B$26-$B$11))-1,4)</f>
        <v>0.12859999999999999</v>
      </c>
      <c r="G31" s="153">
        <f>(G27/G11)-1</f>
        <v>4.5682740011996801</v>
      </c>
      <c r="H31" s="154">
        <f>ROUND((G26/G11)^(1/($B$26-$B$11))-1,4)</f>
        <v>0.11990000000000001</v>
      </c>
      <c r="R31" s="206"/>
      <c r="S31" s="206"/>
      <c r="T31" s="873" t="s">
        <v>520</v>
      </c>
      <c r="U31" s="872" t="s">
        <v>525</v>
      </c>
      <c r="V31" s="206"/>
      <c r="W31" s="206"/>
      <c r="X31" s="206"/>
      <c r="Y31" s="206"/>
      <c r="Z31" s="206"/>
      <c r="AA31" s="206"/>
      <c r="AB31" s="206"/>
      <c r="AC31" s="206"/>
      <c r="AD31" s="206"/>
    </row>
    <row r="32" spans="2:33">
      <c r="C32" s="27"/>
      <c r="E32" s="27"/>
      <c r="G32" s="27"/>
      <c r="R32" s="206"/>
      <c r="S32" s="206"/>
      <c r="T32" s="206"/>
      <c r="U32" s="872" t="s">
        <v>526</v>
      </c>
      <c r="V32" s="206"/>
      <c r="W32" s="206"/>
      <c r="X32" s="206"/>
      <c r="Y32" s="206"/>
      <c r="Z32" s="206"/>
      <c r="AA32" s="206"/>
      <c r="AB32" s="206"/>
      <c r="AC32" s="206"/>
      <c r="AD32" s="206"/>
    </row>
    <row r="33" spans="2:30">
      <c r="B33" s="410" t="s">
        <v>237</v>
      </c>
      <c r="C33" s="27"/>
      <c r="E33" s="27"/>
      <c r="G33" s="27"/>
      <c r="R33" s="206"/>
      <c r="S33" s="206"/>
      <c r="T33" s="206"/>
      <c r="U33" s="872" t="s">
        <v>527</v>
      </c>
      <c r="V33" s="206"/>
      <c r="W33" s="206"/>
      <c r="X33" s="206"/>
      <c r="Y33" s="206"/>
      <c r="Z33" s="206"/>
      <c r="AA33" s="206"/>
      <c r="AB33" s="206"/>
      <c r="AC33" s="206"/>
      <c r="AD33" s="206"/>
    </row>
    <row r="34" spans="2:30">
      <c r="B34" s="410" t="s">
        <v>363</v>
      </c>
      <c r="C34" s="27"/>
      <c r="E34" s="27"/>
      <c r="G34" s="27"/>
      <c r="R34" s="206"/>
      <c r="S34" s="206"/>
      <c r="T34" s="206"/>
      <c r="U34" s="872" t="s">
        <v>521</v>
      </c>
      <c r="V34" s="206"/>
      <c r="W34" s="206"/>
      <c r="X34" s="206"/>
      <c r="Y34" s="206"/>
      <c r="Z34" s="206"/>
      <c r="AA34" s="206"/>
      <c r="AB34" s="206"/>
      <c r="AC34" s="206"/>
      <c r="AD34" s="206"/>
    </row>
    <row r="35" spans="2:30" ht="3" customHeight="1">
      <c r="C35" s="27"/>
      <c r="E35" s="27"/>
      <c r="G35" s="27"/>
      <c r="R35" s="206"/>
      <c r="S35" s="206"/>
      <c r="T35" s="206"/>
      <c r="U35" s="206"/>
      <c r="V35" s="206"/>
      <c r="W35" s="206"/>
      <c r="X35" s="206"/>
      <c r="Y35" s="206"/>
      <c r="Z35" s="206"/>
      <c r="AA35" s="206"/>
      <c r="AB35" s="206"/>
      <c r="AC35" s="206"/>
      <c r="AD35" s="206"/>
    </row>
    <row r="36" spans="2:30">
      <c r="B36" s="410" t="s">
        <v>238</v>
      </c>
      <c r="R36" s="206"/>
      <c r="S36" s="206"/>
      <c r="T36" s="206"/>
      <c r="U36" s="206"/>
      <c r="V36" s="206"/>
      <c r="W36" s="206"/>
      <c r="X36" s="206"/>
      <c r="Y36" s="206"/>
      <c r="Z36" s="206"/>
      <c r="AA36" s="206"/>
      <c r="AB36" s="206"/>
      <c r="AC36" s="206"/>
      <c r="AD36" s="206"/>
    </row>
    <row r="37" spans="2:30">
      <c r="B37" s="410" t="s">
        <v>363</v>
      </c>
      <c r="R37" s="206"/>
      <c r="S37" s="206"/>
      <c r="T37" s="206"/>
      <c r="U37" s="206"/>
      <c r="V37" s="206"/>
      <c r="W37" s="206"/>
      <c r="X37" s="206"/>
      <c r="Y37" s="206"/>
      <c r="Z37" s="206"/>
      <c r="AA37" s="206"/>
      <c r="AB37" s="206"/>
      <c r="AC37" s="206"/>
      <c r="AD37" s="206"/>
    </row>
    <row r="38" spans="2:30" ht="3" customHeight="1">
      <c r="B38" s="16"/>
      <c r="R38" s="206"/>
      <c r="S38" s="206"/>
      <c r="T38" s="206"/>
      <c r="U38" s="206"/>
      <c r="V38" s="206"/>
      <c r="W38" s="206"/>
      <c r="X38" s="206"/>
      <c r="Y38" s="206"/>
      <c r="Z38" s="206"/>
      <c r="AA38" s="206"/>
      <c r="AB38" s="206"/>
      <c r="AC38" s="206"/>
      <c r="AD38" s="206"/>
    </row>
    <row r="39" spans="2:30">
      <c r="B39" s="410" t="s">
        <v>239</v>
      </c>
      <c r="E39" s="143"/>
      <c r="R39" s="206"/>
      <c r="S39" s="206"/>
      <c r="T39" s="206"/>
      <c r="U39" s="206"/>
      <c r="V39" s="206"/>
      <c r="W39" s="206"/>
      <c r="X39" s="206"/>
      <c r="Y39" s="206"/>
      <c r="Z39" s="206"/>
      <c r="AA39" s="206"/>
      <c r="AB39" s="206"/>
      <c r="AC39" s="206"/>
      <c r="AD39" s="206"/>
    </row>
    <row r="40" spans="2:30">
      <c r="B40" s="410" t="s">
        <v>363</v>
      </c>
      <c r="R40" s="206"/>
      <c r="S40" s="206"/>
      <c r="T40" s="206"/>
      <c r="U40" s="206"/>
      <c r="V40" s="206"/>
      <c r="W40" s="206"/>
      <c r="X40" s="206"/>
      <c r="Y40" s="206"/>
      <c r="Z40" s="206"/>
      <c r="AA40" s="206"/>
      <c r="AB40" s="206"/>
      <c r="AC40" s="206"/>
      <c r="AD40" s="206"/>
    </row>
    <row r="41" spans="2:30">
      <c r="B41" s="16"/>
      <c r="R41" s="206"/>
      <c r="S41" s="206"/>
      <c r="T41" s="206"/>
      <c r="U41" s="206"/>
      <c r="V41" s="206"/>
      <c r="W41" s="206"/>
      <c r="X41" s="206"/>
      <c r="Y41" s="206"/>
      <c r="Z41" s="206"/>
      <c r="AA41" s="206"/>
      <c r="AB41" s="206"/>
      <c r="AC41" s="206"/>
      <c r="AD41" s="206"/>
    </row>
    <row r="42" spans="2:30">
      <c r="W42" s="871">
        <f>RATE(B24-B20,,-W20,W24)</f>
        <v>0.21627551541245882</v>
      </c>
    </row>
    <row r="43" spans="2:30">
      <c r="C43" s="27"/>
      <c r="E43" s="27"/>
      <c r="G43" s="27"/>
    </row>
    <row r="44" spans="2:30">
      <c r="C44" s="27"/>
      <c r="E44" s="27"/>
      <c r="G44" s="27"/>
    </row>
  </sheetData>
  <mergeCells count="20">
    <mergeCell ref="B4:H4"/>
    <mergeCell ref="B3:H3"/>
    <mergeCell ref="B5:H5"/>
    <mergeCell ref="O7:Q8"/>
    <mergeCell ref="Y7:Z8"/>
    <mergeCell ref="W7:X8"/>
    <mergeCell ref="V7:V9"/>
    <mergeCell ref="N7:N8"/>
    <mergeCell ref="B30:B31"/>
    <mergeCell ref="G7:H8"/>
    <mergeCell ref="B7:B9"/>
    <mergeCell ref="C7:D8"/>
    <mergeCell ref="E7:F8"/>
    <mergeCell ref="AA7:AB8"/>
    <mergeCell ref="T7:T9"/>
    <mergeCell ref="T2:AB2"/>
    <mergeCell ref="T3:AB3"/>
    <mergeCell ref="T4:AB4"/>
    <mergeCell ref="T5:AB5"/>
    <mergeCell ref="T6:AB6"/>
  </mergeCells>
  <printOptions horizontalCentered="1" verticalCentered="1"/>
  <pageMargins left="0.74803149606299213" right="0.74803149606299213" top="1.1417322834645669" bottom="0.94488188976377963" header="0" footer="0.55118110236220474"/>
  <pageSetup scale="82" orientation="landscape" r:id="rId1"/>
  <headerFooter alignWithMargins="0">
    <oddFooter>&amp;LARCHIVO:  &amp;F
HOJA:  &amp;A&amp;F&amp;R&amp;D</oddFooter>
  </headerFooter>
</worksheet>
</file>

<file path=xl/worksheets/sheet23.xml><?xml version="1.0" encoding="utf-8"?>
<worksheet xmlns="http://schemas.openxmlformats.org/spreadsheetml/2006/main" xmlns:r="http://schemas.openxmlformats.org/officeDocument/2006/relationships">
  <dimension ref="B2:L34"/>
  <sheetViews>
    <sheetView showZeros="0" workbookViewId="0">
      <selection activeCell="B5" sqref="B5:L5"/>
    </sheetView>
  </sheetViews>
  <sheetFormatPr baseColWidth="10" defaultRowHeight="12.75"/>
  <cols>
    <col min="1" max="1" width="11.7109375" customWidth="1"/>
    <col min="2" max="2" width="2.85546875" customWidth="1"/>
    <col min="4" max="4" width="4.5703125" customWidth="1"/>
    <col min="5" max="5" width="15" customWidth="1"/>
    <col min="9" max="9" width="12.140625" customWidth="1"/>
    <col min="12" max="12" width="3.7109375" customWidth="1"/>
  </cols>
  <sheetData>
    <row r="2" spans="2:12" ht="18">
      <c r="B2" s="1481" t="s">
        <v>522</v>
      </c>
      <c r="C2" s="1481"/>
      <c r="D2" s="1481"/>
      <c r="E2" s="1481"/>
      <c r="F2" s="1481"/>
      <c r="G2" s="1481"/>
      <c r="H2" s="1481"/>
      <c r="I2" s="1481"/>
      <c r="J2" s="1481"/>
      <c r="K2" s="1481"/>
      <c r="L2" s="1481"/>
    </row>
    <row r="3" spans="2:12" ht="15.75">
      <c r="B3" s="1482" t="s">
        <v>528</v>
      </c>
      <c r="C3" s="1482"/>
      <c r="D3" s="1482"/>
      <c r="E3" s="1482"/>
      <c r="F3" s="1482"/>
      <c r="G3" s="1482"/>
      <c r="H3" s="1482"/>
      <c r="I3" s="1482"/>
      <c r="J3" s="1482"/>
      <c r="K3" s="1482"/>
      <c r="L3" s="1482"/>
    </row>
    <row r="4" spans="2:12" ht="15.75">
      <c r="B4" s="1482" t="s">
        <v>372</v>
      </c>
      <c r="C4" s="1482"/>
      <c r="D4" s="1482"/>
      <c r="E4" s="1482"/>
      <c r="F4" s="1482"/>
      <c r="G4" s="1482"/>
      <c r="H4" s="1482"/>
      <c r="I4" s="1482"/>
      <c r="J4" s="1482"/>
      <c r="K4" s="1482"/>
      <c r="L4" s="1482"/>
    </row>
    <row r="5" spans="2:12">
      <c r="B5" s="1483" t="s">
        <v>584</v>
      </c>
      <c r="C5" s="1483"/>
      <c r="D5" s="1483"/>
      <c r="E5" s="1483"/>
      <c r="F5" s="1483"/>
      <c r="G5" s="1483"/>
      <c r="H5" s="1483"/>
      <c r="I5" s="1483"/>
      <c r="J5" s="1483"/>
      <c r="K5" s="1483"/>
      <c r="L5" s="1483"/>
    </row>
    <row r="6" spans="2:12" ht="13.5" thickBot="1">
      <c r="B6" s="1483" t="s">
        <v>523</v>
      </c>
      <c r="C6" s="1483"/>
      <c r="D6" s="1483"/>
      <c r="E6" s="1483"/>
      <c r="F6" s="1483"/>
      <c r="G6" s="1483"/>
      <c r="H6" s="1483"/>
      <c r="I6" s="1483"/>
      <c r="J6" s="1483"/>
      <c r="K6" s="1483"/>
      <c r="L6" s="1483"/>
    </row>
    <row r="7" spans="2:12" ht="12.75" customHeight="1">
      <c r="B7" s="883"/>
      <c r="C7" s="1489" t="s">
        <v>8</v>
      </c>
      <c r="D7" s="884"/>
      <c r="E7" s="1484" t="s">
        <v>234</v>
      </c>
      <c r="F7" s="1486" t="s">
        <v>529</v>
      </c>
      <c r="G7" s="1486"/>
      <c r="H7" s="1484" t="s">
        <v>519</v>
      </c>
      <c r="I7" s="1484"/>
      <c r="J7" s="1484" t="s">
        <v>524</v>
      </c>
      <c r="K7" s="1484"/>
      <c r="L7" s="885"/>
    </row>
    <row r="8" spans="2:12" ht="12.75" customHeight="1">
      <c r="B8" s="886"/>
      <c r="C8" s="1490"/>
      <c r="D8" s="882"/>
      <c r="E8" s="1485"/>
      <c r="F8" s="1487"/>
      <c r="G8" s="1487"/>
      <c r="H8" s="1485"/>
      <c r="I8" s="1485"/>
      <c r="J8" s="1485"/>
      <c r="K8" s="1485"/>
      <c r="L8" s="887"/>
    </row>
    <row r="9" spans="2:12" ht="12.75" customHeight="1" thickBot="1">
      <c r="B9" s="888"/>
      <c r="C9" s="1491"/>
      <c r="D9" s="889"/>
      <c r="E9" s="1488"/>
      <c r="F9" s="890" t="s">
        <v>158</v>
      </c>
      <c r="G9" s="890" t="s">
        <v>374</v>
      </c>
      <c r="H9" s="890" t="s">
        <v>158</v>
      </c>
      <c r="I9" s="890" t="s">
        <v>374</v>
      </c>
      <c r="J9" s="890" t="s">
        <v>158</v>
      </c>
      <c r="K9" s="890" t="s">
        <v>374</v>
      </c>
      <c r="L9" s="891"/>
    </row>
    <row r="10" spans="2:12">
      <c r="B10" s="870"/>
      <c r="C10" s="870"/>
      <c r="D10" s="870"/>
      <c r="E10" s="206"/>
      <c r="F10" s="206"/>
      <c r="G10" s="206"/>
      <c r="H10" s="206"/>
      <c r="I10" s="206"/>
      <c r="J10" s="206"/>
      <c r="K10" s="206"/>
      <c r="L10" s="206"/>
    </row>
    <row r="11" spans="2:12">
      <c r="B11" s="870"/>
      <c r="C11" s="1001">
        <v>2011</v>
      </c>
      <c r="D11" s="870"/>
      <c r="E11" s="206"/>
      <c r="F11" s="206"/>
      <c r="G11" s="206"/>
      <c r="H11" s="892">
        <v>0</v>
      </c>
      <c r="I11" s="892">
        <v>0</v>
      </c>
      <c r="J11" s="892">
        <v>0</v>
      </c>
      <c r="K11" s="892">
        <v>0</v>
      </c>
      <c r="L11" s="206"/>
    </row>
    <row r="12" spans="2:12">
      <c r="B12" s="870"/>
      <c r="C12" s="1001">
        <f>C11+1</f>
        <v>2012</v>
      </c>
      <c r="D12" s="870"/>
      <c r="E12" s="206"/>
      <c r="F12" s="206"/>
      <c r="G12" s="206"/>
      <c r="H12" s="892">
        <v>17.088195071999994</v>
      </c>
      <c r="I12" s="892">
        <v>17.088195071999994</v>
      </c>
      <c r="J12" s="892">
        <f>E12+F12+H12</f>
        <v>17.088195071999994</v>
      </c>
      <c r="K12" s="892">
        <f>E12+G12+I12</f>
        <v>17.088195071999994</v>
      </c>
      <c r="L12" s="206"/>
    </row>
    <row r="13" spans="2:12">
      <c r="B13" s="870"/>
      <c r="C13" s="1001">
        <f t="shared" ref="C13:C27" si="0">C12+1</f>
        <v>2013</v>
      </c>
      <c r="D13" s="870"/>
      <c r="E13" s="870">
        <v>56.74966666666667</v>
      </c>
      <c r="F13" s="206"/>
      <c r="G13" s="206"/>
      <c r="H13" s="892">
        <v>17.771722874879991</v>
      </c>
      <c r="I13" s="892">
        <v>34.310602874879997</v>
      </c>
      <c r="J13" s="892">
        <f t="shared" ref="J13:J27" si="1">E13+F13+H13</f>
        <v>74.521389541546654</v>
      </c>
      <c r="K13" s="892">
        <f t="shared" ref="K13:K27" si="2">E13+G13+I13</f>
        <v>91.06026954154666</v>
      </c>
      <c r="L13" s="206"/>
    </row>
    <row r="14" spans="2:12">
      <c r="B14" s="870"/>
      <c r="C14" s="1001">
        <f t="shared" si="0"/>
        <v>2014</v>
      </c>
      <c r="D14" s="870"/>
      <c r="E14" s="870">
        <v>58.041444444444451</v>
      </c>
      <c r="F14" s="870">
        <v>47.1</v>
      </c>
      <c r="G14" s="870">
        <v>47.1</v>
      </c>
      <c r="H14" s="892">
        <v>32.179026989875197</v>
      </c>
      <c r="I14" s="892">
        <v>35.683026989875195</v>
      </c>
      <c r="J14" s="892">
        <f t="shared" si="1"/>
        <v>137.32047143431964</v>
      </c>
      <c r="K14" s="892">
        <f t="shared" si="2"/>
        <v>140.82447143431966</v>
      </c>
      <c r="L14" s="206"/>
    </row>
    <row r="15" spans="2:12">
      <c r="B15" s="870"/>
      <c r="C15" s="1001">
        <f t="shared" si="0"/>
        <v>2015</v>
      </c>
      <c r="D15" s="870"/>
      <c r="E15" s="870">
        <v>59.142222222222223</v>
      </c>
      <c r="F15" s="870">
        <v>47.1</v>
      </c>
      <c r="G15" s="870">
        <v>47.1</v>
      </c>
      <c r="H15" s="892">
        <v>33.466188069470199</v>
      </c>
      <c r="I15" s="892">
        <v>73.762188069470199</v>
      </c>
      <c r="J15" s="892">
        <f t="shared" si="1"/>
        <v>139.70841029169242</v>
      </c>
      <c r="K15" s="892">
        <f t="shared" si="2"/>
        <v>180.00441029169241</v>
      </c>
      <c r="L15" s="206"/>
    </row>
    <row r="16" spans="2:12">
      <c r="B16" s="870"/>
      <c r="C16" s="1001">
        <f t="shared" si="0"/>
        <v>2016</v>
      </c>
      <c r="D16" s="870"/>
      <c r="E16" s="870">
        <v>60.337111111111113</v>
      </c>
      <c r="F16" s="870">
        <v>51.8</v>
      </c>
      <c r="G16" s="870">
        <v>59.4</v>
      </c>
      <c r="H16" s="892">
        <v>34.804835592249006</v>
      </c>
      <c r="I16" s="892">
        <v>76.712675592248999</v>
      </c>
      <c r="J16" s="892">
        <f t="shared" si="1"/>
        <v>146.94194670336012</v>
      </c>
      <c r="K16" s="892">
        <f t="shared" si="2"/>
        <v>196.44978670336013</v>
      </c>
      <c r="L16" s="206"/>
    </row>
    <row r="17" spans="2:12">
      <c r="B17" s="870"/>
      <c r="C17" s="1001">
        <f t="shared" si="0"/>
        <v>2017</v>
      </c>
      <c r="D17" s="870"/>
      <c r="E17" s="870">
        <v>61.421888888888887</v>
      </c>
      <c r="F17" s="870">
        <v>57</v>
      </c>
      <c r="G17" s="870">
        <v>65.3</v>
      </c>
      <c r="H17" s="892">
        <v>36.197029015938959</v>
      </c>
      <c r="I17" s="892">
        <v>79.781182615938945</v>
      </c>
      <c r="J17" s="892">
        <f t="shared" si="1"/>
        <v>154.61891790482784</v>
      </c>
      <c r="K17" s="892">
        <f t="shared" si="2"/>
        <v>206.50307150482783</v>
      </c>
      <c r="L17" s="206"/>
    </row>
    <row r="18" spans="2:12">
      <c r="B18" s="870"/>
      <c r="C18" s="1001">
        <f t="shared" si="0"/>
        <v>2018</v>
      </c>
      <c r="D18" s="870"/>
      <c r="E18" s="870">
        <v>62.631777777777785</v>
      </c>
      <c r="F18" s="870">
        <v>62.7</v>
      </c>
      <c r="G18" s="870">
        <v>128.4</v>
      </c>
      <c r="H18" s="892">
        <v>37.644910176576531</v>
      </c>
      <c r="I18" s="892">
        <v>82.972429920576516</v>
      </c>
      <c r="J18" s="892">
        <f t="shared" si="1"/>
        <v>162.9766879543543</v>
      </c>
      <c r="K18" s="892">
        <f t="shared" si="2"/>
        <v>274.00420769835432</v>
      </c>
      <c r="L18" s="206"/>
    </row>
    <row r="19" spans="2:12">
      <c r="B19" s="870"/>
      <c r="C19" s="1001">
        <f t="shared" si="0"/>
        <v>2019</v>
      </c>
      <c r="D19" s="870"/>
      <c r="E19" s="870">
        <v>63.833666666666673</v>
      </c>
      <c r="F19" s="870">
        <v>69</v>
      </c>
      <c r="G19" s="870">
        <v>139.80000000000001</v>
      </c>
      <c r="H19" s="892">
        <v>39.15070658363959</v>
      </c>
      <c r="I19" s="892">
        <v>86.291327117399575</v>
      </c>
      <c r="J19" s="892">
        <f t="shared" si="1"/>
        <v>171.98437325030625</v>
      </c>
      <c r="K19" s="892">
        <f t="shared" si="2"/>
        <v>289.92499378406626</v>
      </c>
      <c r="L19" s="206"/>
    </row>
    <row r="20" spans="2:12">
      <c r="B20" s="870"/>
      <c r="C20" s="1001">
        <f t="shared" si="0"/>
        <v>2020</v>
      </c>
      <c r="D20" s="870"/>
      <c r="E20" s="870">
        <v>67.850555555555559</v>
      </c>
      <c r="F20" s="870">
        <v>134.80000000000001</v>
      </c>
      <c r="G20" s="870">
        <v>151</v>
      </c>
      <c r="H20" s="892">
        <v>61.274788826735559</v>
      </c>
      <c r="I20" s="892">
        <v>89.742980202095566</v>
      </c>
      <c r="J20" s="892">
        <f t="shared" si="1"/>
        <v>263.92534438229114</v>
      </c>
      <c r="K20" s="892">
        <f t="shared" si="2"/>
        <v>308.59353575765113</v>
      </c>
      <c r="L20" s="206"/>
    </row>
    <row r="21" spans="2:12">
      <c r="B21" s="870"/>
      <c r="C21" s="1001">
        <f t="shared" si="0"/>
        <v>2021</v>
      </c>
      <c r="D21" s="870"/>
      <c r="E21" s="870">
        <v>76.323666666666668</v>
      </c>
      <c r="F21" s="870">
        <v>139.80000000000001</v>
      </c>
      <c r="G21" s="870">
        <v>151</v>
      </c>
      <c r="H21" s="892">
        <v>63.725780379804988</v>
      </c>
      <c r="I21" s="892">
        <v>93.332699410179401</v>
      </c>
      <c r="J21" s="892">
        <f t="shared" si="1"/>
        <v>279.84944704647165</v>
      </c>
      <c r="K21" s="892">
        <f t="shared" si="2"/>
        <v>320.6563660768461</v>
      </c>
      <c r="L21" s="206"/>
    </row>
    <row r="22" spans="2:12">
      <c r="B22" s="870"/>
      <c r="C22" s="1001">
        <f t="shared" si="0"/>
        <v>2022</v>
      </c>
      <c r="D22" s="870"/>
      <c r="E22" s="870">
        <v>77.462444444444458</v>
      </c>
      <c r="F22" s="870">
        <v>145.1</v>
      </c>
      <c r="G22" s="870">
        <v>156.19999999999999</v>
      </c>
      <c r="H22" s="892">
        <v>66.274811594997175</v>
      </c>
      <c r="I22" s="892">
        <v>97.066007386586591</v>
      </c>
      <c r="J22" s="892">
        <f t="shared" si="1"/>
        <v>288.83725603944163</v>
      </c>
      <c r="K22" s="892">
        <f t="shared" si="2"/>
        <v>330.72845183103107</v>
      </c>
      <c r="L22" s="206"/>
    </row>
    <row r="23" spans="2:12">
      <c r="B23" s="870"/>
      <c r="C23" s="1001">
        <f t="shared" si="0"/>
        <v>2023</v>
      </c>
      <c r="D23" s="870"/>
      <c r="E23" s="870">
        <v>78.602222222222224</v>
      </c>
      <c r="F23" s="870">
        <v>151</v>
      </c>
      <c r="G23" s="870">
        <v>157.80000000000001</v>
      </c>
      <c r="H23" s="892">
        <v>68.925804058797041</v>
      </c>
      <c r="I23" s="892">
        <v>100.94864768205004</v>
      </c>
      <c r="J23" s="892">
        <f t="shared" si="1"/>
        <v>298.52802628101927</v>
      </c>
      <c r="K23" s="892">
        <f t="shared" si="2"/>
        <v>337.35086990427226</v>
      </c>
      <c r="L23" s="206"/>
    </row>
    <row r="24" spans="2:12">
      <c r="B24" s="870"/>
      <c r="C24" s="1001">
        <f t="shared" si="0"/>
        <v>2024</v>
      </c>
      <c r="D24" s="870"/>
      <c r="E24" s="870">
        <v>79.739999999999995</v>
      </c>
      <c r="F24" s="870">
        <v>156.19999999999999</v>
      </c>
      <c r="G24" s="870">
        <v>159.4</v>
      </c>
      <c r="H24" s="892">
        <v>71.682836221148932</v>
      </c>
      <c r="I24" s="892">
        <v>104.98659358933205</v>
      </c>
      <c r="J24" s="892">
        <f t="shared" si="1"/>
        <v>307.62283622114893</v>
      </c>
      <c r="K24" s="892">
        <f t="shared" si="2"/>
        <v>344.12659358933206</v>
      </c>
      <c r="L24" s="206"/>
    </row>
    <row r="25" spans="2:12">
      <c r="B25" s="870"/>
      <c r="C25" s="1001">
        <f t="shared" si="0"/>
        <v>2025</v>
      </c>
      <c r="D25" s="870"/>
      <c r="E25" s="870">
        <v>80.978777777777793</v>
      </c>
      <c r="F25" s="870">
        <v>157.80000000000001</v>
      </c>
      <c r="G25" s="870">
        <v>161</v>
      </c>
      <c r="H25" s="892">
        <v>74.550149669994909</v>
      </c>
      <c r="I25" s="892">
        <v>109.18605733290535</v>
      </c>
      <c r="J25" s="892">
        <f t="shared" si="1"/>
        <v>313.32892744777268</v>
      </c>
      <c r="K25" s="892">
        <f t="shared" si="2"/>
        <v>351.16483511068316</v>
      </c>
      <c r="L25" s="206"/>
    </row>
    <row r="26" spans="2:12">
      <c r="B26" s="870"/>
      <c r="C26" s="1001">
        <f t="shared" si="0"/>
        <v>2026</v>
      </c>
      <c r="D26" s="870"/>
      <c r="E26" s="870">
        <v>82.043836313741593</v>
      </c>
      <c r="F26" s="870">
        <v>159.4</v>
      </c>
      <c r="G26" s="870">
        <v>162.6</v>
      </c>
      <c r="H26" s="892">
        <v>77.5321556567947</v>
      </c>
      <c r="I26" s="892">
        <v>113.55349962622157</v>
      </c>
      <c r="J26" s="892">
        <f t="shared" si="1"/>
        <v>318.97599197053631</v>
      </c>
      <c r="K26" s="892">
        <f t="shared" si="2"/>
        <v>358.19733593996318</v>
      </c>
      <c r="L26" s="206"/>
    </row>
    <row r="27" spans="2:12">
      <c r="B27" s="870"/>
      <c r="C27" s="1001">
        <f t="shared" si="0"/>
        <v>2027</v>
      </c>
      <c r="D27" s="870"/>
      <c r="E27" s="870">
        <v>83.220112298199524</v>
      </c>
      <c r="F27" s="870">
        <v>161</v>
      </c>
      <c r="G27" s="870">
        <v>164.2</v>
      </c>
      <c r="H27" s="892">
        <v>80.63344188306651</v>
      </c>
      <c r="I27" s="892">
        <v>118.09563961127044</v>
      </c>
      <c r="J27" s="892">
        <f t="shared" si="1"/>
        <v>324.85355418126602</v>
      </c>
      <c r="K27" s="892">
        <f t="shared" si="2"/>
        <v>365.51575190946994</v>
      </c>
      <c r="L27" s="206"/>
    </row>
    <row r="28" spans="2:12" hidden="1">
      <c r="B28" s="870"/>
      <c r="C28" s="1001"/>
      <c r="D28" s="870"/>
      <c r="E28" s="870"/>
      <c r="F28" s="870"/>
      <c r="G28" s="870"/>
      <c r="H28" s="892"/>
      <c r="I28" s="892"/>
      <c r="J28" s="892"/>
      <c r="K28" s="892"/>
      <c r="L28" s="206"/>
    </row>
    <row r="29" spans="2:12" ht="13.5" thickBot="1">
      <c r="B29" s="893"/>
      <c r="C29" s="893"/>
      <c r="D29" s="893"/>
      <c r="E29" s="893"/>
      <c r="F29" s="893"/>
      <c r="G29" s="893"/>
      <c r="H29" s="893"/>
      <c r="I29" s="893"/>
      <c r="J29" s="893"/>
      <c r="K29" s="893"/>
      <c r="L29" s="893"/>
    </row>
    <row r="31" spans="2:12">
      <c r="B31" s="881" t="s">
        <v>520</v>
      </c>
      <c r="C31" t="s">
        <v>525</v>
      </c>
    </row>
    <row r="32" spans="2:12">
      <c r="C32" t="s">
        <v>526</v>
      </c>
    </row>
    <row r="33" spans="3:3">
      <c r="C33" t="s">
        <v>527</v>
      </c>
    </row>
    <row r="34" spans="3:3">
      <c r="C34" t="s">
        <v>521</v>
      </c>
    </row>
  </sheetData>
  <mergeCells count="10">
    <mergeCell ref="H7:I8"/>
    <mergeCell ref="J7:K8"/>
    <mergeCell ref="F7:G8"/>
    <mergeCell ref="E7:E9"/>
    <mergeCell ref="C7:C9"/>
    <mergeCell ref="B2:L2"/>
    <mergeCell ref="B3:L3"/>
    <mergeCell ref="B4:L4"/>
    <mergeCell ref="B5:L5"/>
    <mergeCell ref="B6:L6"/>
  </mergeCells>
  <pageMargins left="0.7" right="0.7" top="0.75" bottom="0.75" header="0.3" footer="0.3"/>
</worksheet>
</file>

<file path=xl/worksheets/sheet24.xml><?xml version="1.0" encoding="utf-8"?>
<worksheet xmlns="http://schemas.openxmlformats.org/spreadsheetml/2006/main" xmlns:r="http://schemas.openxmlformats.org/officeDocument/2006/relationships">
  <sheetPr>
    <pageSetUpPr fitToPage="1"/>
  </sheetPr>
  <dimension ref="C1:M37"/>
  <sheetViews>
    <sheetView workbookViewId="0">
      <selection activeCell="C8" sqref="C8:I8"/>
    </sheetView>
  </sheetViews>
  <sheetFormatPr baseColWidth="10" defaultRowHeight="12.75"/>
  <cols>
    <col min="2" max="2" width="3.140625" customWidth="1"/>
    <col min="4" max="4" width="12.42578125" bestFit="1" customWidth="1"/>
    <col min="5" max="5" width="11.28515625" customWidth="1"/>
    <col min="6" max="6" width="12.7109375" bestFit="1" customWidth="1"/>
    <col min="7" max="7" width="12.42578125" bestFit="1" customWidth="1"/>
    <col min="8" max="8" width="11.28515625" customWidth="1"/>
    <col min="9" max="9" width="12.7109375" customWidth="1"/>
    <col min="10" max="10" width="3.85546875" customWidth="1"/>
  </cols>
  <sheetData>
    <row r="1" spans="3:13" ht="15.75">
      <c r="C1" s="17" t="s">
        <v>291</v>
      </c>
    </row>
    <row r="2" spans="3:13" ht="15.75">
      <c r="C2" s="155" t="s">
        <v>368</v>
      </c>
    </row>
    <row r="3" spans="3:13" ht="15.75">
      <c r="C3" s="155" t="s">
        <v>575</v>
      </c>
    </row>
    <row r="6" spans="3:13" ht="18">
      <c r="C6" s="1492" t="s">
        <v>351</v>
      </c>
      <c r="D6" s="1492"/>
      <c r="E6" s="1492"/>
      <c r="F6" s="1492"/>
      <c r="G6" s="1492"/>
      <c r="H6" s="1492"/>
      <c r="I6" s="1492"/>
    </row>
    <row r="7" spans="3:13" ht="15.75">
      <c r="C7" s="1182" t="s">
        <v>352</v>
      </c>
      <c r="D7" s="1182"/>
      <c r="E7" s="1182"/>
      <c r="F7" s="1182"/>
      <c r="G7" s="1182"/>
      <c r="H7" s="1182"/>
      <c r="I7" s="1182"/>
    </row>
    <row r="8" spans="3:13">
      <c r="C8" s="1493" t="s">
        <v>574</v>
      </c>
      <c r="D8" s="1493"/>
      <c r="E8" s="1493"/>
      <c r="F8" s="1493"/>
      <c r="G8" s="1493"/>
      <c r="H8" s="1493"/>
      <c r="I8" s="1493"/>
    </row>
    <row r="9" spans="3:13" ht="13.5" thickBot="1">
      <c r="C9" s="165"/>
      <c r="D9" s="165"/>
      <c r="E9" s="165"/>
      <c r="F9" s="165"/>
      <c r="G9" s="165"/>
      <c r="H9" s="165"/>
      <c r="I9" s="165"/>
    </row>
    <row r="10" spans="3:13" ht="14.25">
      <c r="C10" s="1494" t="s">
        <v>164</v>
      </c>
      <c r="D10" s="1496" t="s">
        <v>571</v>
      </c>
      <c r="E10" s="1497"/>
      <c r="F10" s="1497"/>
      <c r="G10" s="1496" t="s">
        <v>572</v>
      </c>
      <c r="H10" s="1497"/>
      <c r="I10" s="1498"/>
    </row>
    <row r="11" spans="3:13">
      <c r="C11" s="1495"/>
      <c r="D11" s="337" t="s">
        <v>297</v>
      </c>
      <c r="E11" s="337" t="s">
        <v>189</v>
      </c>
      <c r="F11" s="337" t="s">
        <v>353</v>
      </c>
      <c r="G11" s="337" t="s">
        <v>297</v>
      </c>
      <c r="H11" s="337" t="s">
        <v>189</v>
      </c>
      <c r="I11" s="338" t="s">
        <v>353</v>
      </c>
    </row>
    <row r="12" spans="3:13" ht="13.5" thickBot="1">
      <c r="C12" s="1421"/>
      <c r="D12" s="339" t="s">
        <v>298</v>
      </c>
      <c r="E12" s="340" t="s">
        <v>299</v>
      </c>
      <c r="F12" s="340" t="s">
        <v>300</v>
      </c>
      <c r="G12" s="340" t="s">
        <v>301</v>
      </c>
      <c r="H12" s="340" t="s">
        <v>302</v>
      </c>
      <c r="I12" s="341" t="s">
        <v>303</v>
      </c>
    </row>
    <row r="14" spans="3:13">
      <c r="C14">
        <v>2009</v>
      </c>
      <c r="D14" s="120">
        <v>6753.6999999999989</v>
      </c>
      <c r="E14" s="120">
        <v>6753.6999999999989</v>
      </c>
      <c r="F14" s="120">
        <v>6753.6999999999989</v>
      </c>
      <c r="G14" s="120">
        <v>1121.99</v>
      </c>
      <c r="H14" s="120">
        <v>1121.99</v>
      </c>
      <c r="I14" s="120">
        <v>1121.99</v>
      </c>
      <c r="L14" s="120"/>
      <c r="M14" s="8"/>
    </row>
    <row r="15" spans="3:13">
      <c r="C15">
        <v>2010</v>
      </c>
      <c r="D15" s="120">
        <v>7290.3000000000011</v>
      </c>
      <c r="E15" s="120">
        <v>7290.3000000000011</v>
      </c>
      <c r="F15" s="120">
        <v>7290.3000000000011</v>
      </c>
      <c r="G15" s="120">
        <v>1190.4000000000001</v>
      </c>
      <c r="H15" s="120">
        <v>1190.4000000000001</v>
      </c>
      <c r="I15" s="120">
        <v>1190.4000000000001</v>
      </c>
      <c r="L15" s="120"/>
      <c r="M15" s="8"/>
    </row>
    <row r="16" spans="3:13">
      <c r="C16">
        <v>2011</v>
      </c>
      <c r="D16" s="120">
        <v>7722.5</v>
      </c>
      <c r="E16" s="120">
        <v>7722.5</v>
      </c>
      <c r="F16" s="120">
        <v>7722.5</v>
      </c>
      <c r="G16" s="120">
        <v>1254.46</v>
      </c>
      <c r="H16" s="120">
        <v>1254.46</v>
      </c>
      <c r="I16" s="120">
        <v>1254.46</v>
      </c>
      <c r="L16" s="120"/>
      <c r="M16" s="8"/>
    </row>
    <row r="17" spans="3:13">
      <c r="D17" s="120"/>
      <c r="E17" s="120"/>
      <c r="F17" s="120"/>
      <c r="G17" s="120"/>
      <c r="H17" s="120"/>
      <c r="I17" s="120"/>
      <c r="L17" s="120"/>
      <c r="M17" s="8"/>
    </row>
    <row r="18" spans="3:13">
      <c r="C18">
        <v>2012</v>
      </c>
      <c r="D18" s="120">
        <v>8447.9901939010906</v>
      </c>
      <c r="E18" s="120">
        <v>8447.9901939010906</v>
      </c>
      <c r="F18" s="120">
        <v>8447.9901939010906</v>
      </c>
      <c r="G18" s="120">
        <v>1351.27</v>
      </c>
      <c r="H18" s="120">
        <v>1351.27</v>
      </c>
      <c r="I18" s="120">
        <v>1351.27</v>
      </c>
    </row>
    <row r="19" spans="3:13">
      <c r="C19">
        <f>C18+1</f>
        <v>2013</v>
      </c>
      <c r="D19" s="120">
        <v>9084.528303512483</v>
      </c>
      <c r="E19" s="120">
        <v>9133.8284266527826</v>
      </c>
      <c r="F19" s="120">
        <v>9055.4381490327414</v>
      </c>
      <c r="G19" s="120">
        <v>1451.4298250385016</v>
      </c>
      <c r="H19" s="120">
        <v>1459.3064771566128</v>
      </c>
      <c r="I19" s="120">
        <v>1446.7821079071073</v>
      </c>
    </row>
    <row r="20" spans="3:13">
      <c r="C20">
        <f t="shared" ref="C20:C33" si="0">C19+1</f>
        <v>2014</v>
      </c>
      <c r="D20" s="120">
        <v>9775.1686049871641</v>
      </c>
      <c r="E20" s="120">
        <v>9846.2796353681824</v>
      </c>
      <c r="F20" s="120">
        <v>9732.9031830703989</v>
      </c>
      <c r="G20" s="120">
        <v>1563.5543813008901</v>
      </c>
      <c r="H20" s="120">
        <v>1574.9287081901816</v>
      </c>
      <c r="I20" s="120">
        <v>1556.7939571807606</v>
      </c>
    </row>
    <row r="21" spans="3:13">
      <c r="C21">
        <f t="shared" si="0"/>
        <v>2015</v>
      </c>
      <c r="D21" s="120">
        <v>10469.803892064896</v>
      </c>
      <c r="E21" s="120">
        <v>10610.633599822489</v>
      </c>
      <c r="F21" s="120">
        <v>10428.245683381469</v>
      </c>
      <c r="G21" s="120">
        <v>1673.6793527390853</v>
      </c>
      <c r="H21" s="120">
        <v>1694.6330490922808</v>
      </c>
      <c r="I21" s="120">
        <v>1667.6552079168837</v>
      </c>
    </row>
    <row r="22" spans="3:13">
      <c r="C22">
        <f t="shared" si="0"/>
        <v>2016</v>
      </c>
      <c r="D22" s="120">
        <v>11233.095171799585</v>
      </c>
      <c r="E22" s="120">
        <v>11409.944358071092</v>
      </c>
      <c r="F22" s="120">
        <v>11199.845814350474</v>
      </c>
      <c r="G22" s="120">
        <v>1794.6432402042399</v>
      </c>
      <c r="H22" s="120">
        <v>1819.5479310834407</v>
      </c>
      <c r="I22" s="120">
        <v>1790.6608124734676</v>
      </c>
    </row>
    <row r="23" spans="3:13">
      <c r="C23">
        <f t="shared" si="0"/>
        <v>2017</v>
      </c>
      <c r="D23" s="120">
        <v>11887.0150832041</v>
      </c>
      <c r="E23" s="120">
        <v>12100.672412201304</v>
      </c>
      <c r="F23" s="120">
        <v>11849.42805674472</v>
      </c>
      <c r="G23" s="120">
        <v>1898.0011898788537</v>
      </c>
      <c r="H23" s="120">
        <v>1926.7931682229714</v>
      </c>
      <c r="I23" s="120">
        <v>1894.1089225797311</v>
      </c>
    </row>
    <row r="24" spans="3:13">
      <c r="C24">
        <f t="shared" si="0"/>
        <v>2018</v>
      </c>
      <c r="D24" s="120">
        <v>12573.454364339832</v>
      </c>
      <c r="E24" s="120">
        <v>12877.265462335334</v>
      </c>
      <c r="F24" s="120">
        <v>12529.330602257101</v>
      </c>
      <c r="G24" s="120">
        <v>2006.4264946309995</v>
      </c>
      <c r="H24" s="120">
        <v>2047.3630569281545</v>
      </c>
      <c r="I24" s="120">
        <v>2002.357902236615</v>
      </c>
    </row>
    <row r="25" spans="3:13">
      <c r="C25">
        <f t="shared" si="0"/>
        <v>2019</v>
      </c>
      <c r="D25" s="120">
        <v>13293.015608701642</v>
      </c>
      <c r="E25" s="120">
        <v>13639.297952239078</v>
      </c>
      <c r="F25" s="120">
        <v>13241.867342333009</v>
      </c>
      <c r="G25" s="120">
        <v>2120.0062262914785</v>
      </c>
      <c r="H25" s="120">
        <v>2165.2540047647158</v>
      </c>
      <c r="I25" s="120">
        <v>2115.7743407289718</v>
      </c>
    </row>
    <row r="26" spans="3:13">
      <c r="C26">
        <f t="shared" si="0"/>
        <v>2020</v>
      </c>
      <c r="D26" s="120">
        <v>14128.963369799307</v>
      </c>
      <c r="E26" s="120">
        <v>14441.682294396696</v>
      </c>
      <c r="F26" s="120">
        <v>14071.976476887037</v>
      </c>
      <c r="G26" s="120">
        <v>2252.0026565036392</v>
      </c>
      <c r="H26" s="120">
        <v>2289.1815681812664</v>
      </c>
      <c r="I26" s="120">
        <v>2247.9233028469262</v>
      </c>
    </row>
    <row r="27" spans="3:13">
      <c r="C27">
        <f t="shared" si="0"/>
        <v>2021</v>
      </c>
      <c r="D27" s="120">
        <v>14929.007897507778</v>
      </c>
      <c r="E27" s="120">
        <v>15279.383309596533</v>
      </c>
      <c r="F27" s="120">
        <v>14863.998125323302</v>
      </c>
      <c r="G27" s="120">
        <v>2378.1241577366895</v>
      </c>
      <c r="H27" s="120">
        <v>2418.3207364985506</v>
      </c>
      <c r="I27" s="120">
        <v>2373.9321748535926</v>
      </c>
    </row>
    <row r="28" spans="3:13">
      <c r="C28">
        <f t="shared" si="0"/>
        <v>2022</v>
      </c>
      <c r="D28" s="120">
        <v>15758.617235809095</v>
      </c>
      <c r="E28" s="120">
        <v>16145.927181935904</v>
      </c>
      <c r="F28" s="120">
        <v>15680.645969739262</v>
      </c>
      <c r="G28" s="120">
        <v>2508.8035839065374</v>
      </c>
      <c r="H28" s="120">
        <v>2551.6240287910682</v>
      </c>
      <c r="I28" s="120">
        <v>2503.8187667463499</v>
      </c>
    </row>
    <row r="29" spans="3:13">
      <c r="C29">
        <f t="shared" si="0"/>
        <v>2023</v>
      </c>
      <c r="D29" s="120">
        <v>16623.954147415443</v>
      </c>
      <c r="E29" s="120">
        <v>17049.620650860379</v>
      </c>
      <c r="F29" s="120">
        <v>16533.67912603723</v>
      </c>
      <c r="G29" s="120">
        <v>2645.0133254068314</v>
      </c>
      <c r="H29" s="120">
        <v>2690.3825303852459</v>
      </c>
      <c r="I29" s="120">
        <v>2639.4577910242242</v>
      </c>
    </row>
    <row r="30" spans="3:13">
      <c r="C30">
        <f t="shared" si="0"/>
        <v>2024</v>
      </c>
      <c r="D30" s="120">
        <v>17527.920408960494</v>
      </c>
      <c r="E30" s="120">
        <v>17994.036124421447</v>
      </c>
      <c r="F30" s="120">
        <v>17425.793414333111</v>
      </c>
      <c r="G30" s="120">
        <v>2787.2049335842767</v>
      </c>
      <c r="H30" s="120">
        <v>2835.1335531305044</v>
      </c>
      <c r="I30" s="120">
        <v>2781.2757769843879</v>
      </c>
    </row>
    <row r="31" spans="3:13">
      <c r="C31">
        <f t="shared" si="0"/>
        <v>2025</v>
      </c>
      <c r="D31" s="123">
        <v>18470.658685823248</v>
      </c>
      <c r="E31" s="123">
        <v>18983.89058887065</v>
      </c>
      <c r="F31" s="120">
        <v>18352.505008061325</v>
      </c>
      <c r="G31" s="120">
        <v>2935.3904049936818</v>
      </c>
      <c r="H31" s="120">
        <v>2986.591164656526</v>
      </c>
      <c r="I31" s="120">
        <v>2928.553210729066</v>
      </c>
    </row>
    <row r="32" spans="3:13">
      <c r="C32">
        <f t="shared" si="0"/>
        <v>2026</v>
      </c>
      <c r="D32" s="123">
        <v>19556.949318108891</v>
      </c>
      <c r="E32" s="123">
        <v>20127.468549740341</v>
      </c>
      <c r="F32" s="120">
        <v>19444.891206341861</v>
      </c>
      <c r="G32" s="120">
        <v>3106.2011416214459</v>
      </c>
      <c r="H32" s="120">
        <v>3161.7340070486825</v>
      </c>
      <c r="I32" s="120">
        <v>3102.1983435907296</v>
      </c>
    </row>
    <row r="33" spans="3:9">
      <c r="C33">
        <f t="shared" si="0"/>
        <v>2027</v>
      </c>
      <c r="D33" s="123">
        <v>20697.616659976189</v>
      </c>
      <c r="E33" s="123">
        <v>21333.628433669597</v>
      </c>
      <c r="F33" s="120">
        <v>20537.66564169708</v>
      </c>
      <c r="G33" s="120">
        <v>3285.4418235441335</v>
      </c>
      <c r="H33" s="120">
        <v>3346.1585910013027</v>
      </c>
      <c r="I33" s="120">
        <v>3275.8303253993995</v>
      </c>
    </row>
    <row r="34" spans="3:9" ht="13.5" thickBot="1">
      <c r="C34" s="10"/>
      <c r="D34" s="10"/>
      <c r="E34" s="10"/>
      <c r="F34" s="10"/>
      <c r="G34" s="10"/>
      <c r="H34" s="10"/>
      <c r="I34" s="10"/>
    </row>
    <row r="36" spans="3:9" ht="14.25">
      <c r="C36" s="976">
        <v>1</v>
      </c>
      <c r="D36" s="156" t="s">
        <v>570</v>
      </c>
    </row>
    <row r="37" spans="3:9" ht="14.25">
      <c r="C37" s="976">
        <v>2</v>
      </c>
      <c r="D37" s="977" t="s">
        <v>573</v>
      </c>
    </row>
  </sheetData>
  <mergeCells count="6">
    <mergeCell ref="C6:I6"/>
    <mergeCell ref="C7:I7"/>
    <mergeCell ref="C8:I8"/>
    <mergeCell ref="C10:C12"/>
    <mergeCell ref="D10:F10"/>
    <mergeCell ref="G10:I10"/>
  </mergeCells>
  <printOptions horizontalCentered="1" verticalCentered="1"/>
  <pageMargins left="0.75" right="0.75" top="1" bottom="1" header="0" footer="0"/>
  <pageSetup scale="81" orientation="portrait" r:id="rId1"/>
  <headerFooter alignWithMargins="0"/>
</worksheet>
</file>

<file path=xl/worksheets/sheet25.xml><?xml version="1.0" encoding="utf-8"?>
<worksheet xmlns="http://schemas.openxmlformats.org/spreadsheetml/2006/main" xmlns:r="http://schemas.openxmlformats.org/officeDocument/2006/relationships">
  <dimension ref="A1:O71"/>
  <sheetViews>
    <sheetView topLeftCell="A46" workbookViewId="0">
      <selection activeCell="D69" sqref="D69"/>
    </sheetView>
  </sheetViews>
  <sheetFormatPr baseColWidth="10" defaultRowHeight="12.75"/>
  <cols>
    <col min="1" max="1" width="3.140625" customWidth="1"/>
    <col min="13" max="13" width="9.42578125" customWidth="1"/>
    <col min="14" max="14" width="9.7109375" customWidth="1"/>
    <col min="15" max="15" width="3.140625" customWidth="1"/>
  </cols>
  <sheetData>
    <row r="1" spans="1:15" ht="15.75">
      <c r="A1" s="206"/>
      <c r="B1" s="205" t="s">
        <v>294</v>
      </c>
      <c r="C1" s="206"/>
      <c r="D1" s="206"/>
      <c r="E1" s="206"/>
      <c r="F1" s="206"/>
      <c r="G1" s="206"/>
      <c r="H1" s="206"/>
      <c r="I1" s="206"/>
      <c r="J1" s="206"/>
      <c r="K1" s="206"/>
      <c r="L1" s="206"/>
      <c r="M1" s="206"/>
      <c r="N1" s="206"/>
      <c r="O1" s="206"/>
    </row>
    <row r="2" spans="1:15" ht="15.75">
      <c r="A2" s="206"/>
      <c r="B2" s="208" t="s">
        <v>292</v>
      </c>
      <c r="C2" s="206"/>
      <c r="D2" s="206"/>
      <c r="E2" s="206"/>
      <c r="F2" s="206"/>
      <c r="G2" s="206"/>
      <c r="H2" s="206"/>
      <c r="I2" s="206"/>
      <c r="J2" s="206"/>
      <c r="K2" s="206"/>
      <c r="L2" s="206"/>
      <c r="M2" s="206"/>
      <c r="N2" s="206"/>
      <c r="O2" s="206"/>
    </row>
    <row r="3" spans="1:15" ht="15.75">
      <c r="A3" s="206"/>
      <c r="B3" s="208" t="s">
        <v>267</v>
      </c>
      <c r="C3" s="206"/>
      <c r="D3" s="206"/>
      <c r="E3" s="206"/>
      <c r="F3" s="206"/>
      <c r="G3" s="206"/>
      <c r="H3" s="206"/>
      <c r="I3" s="206"/>
      <c r="J3" s="206"/>
      <c r="K3" s="206"/>
      <c r="L3" s="206"/>
      <c r="M3" s="206"/>
      <c r="N3" s="206"/>
      <c r="O3" s="206"/>
    </row>
    <row r="4" spans="1:15" ht="15.75">
      <c r="A4" s="206"/>
      <c r="B4" s="1461"/>
      <c r="C4" s="1461"/>
      <c r="D4" s="1461"/>
      <c r="E4" s="1461"/>
      <c r="F4" s="1461"/>
      <c r="G4" s="1461"/>
      <c r="H4" s="1461"/>
      <c r="I4" s="1461"/>
      <c r="J4" s="1461"/>
      <c r="K4" s="1461"/>
      <c r="L4" s="1461"/>
      <c r="M4" s="1461"/>
      <c r="N4" s="1461"/>
      <c r="O4" s="206"/>
    </row>
    <row r="5" spans="1:15" ht="15">
      <c r="A5" s="206"/>
      <c r="B5" s="1499" t="s">
        <v>665</v>
      </c>
      <c r="C5" s="1499"/>
      <c r="D5" s="1499"/>
      <c r="E5" s="1499"/>
      <c r="F5" s="1499"/>
      <c r="G5" s="1499"/>
      <c r="H5" s="1499"/>
      <c r="I5" s="1499"/>
      <c r="J5" s="1499"/>
      <c r="K5" s="1499"/>
      <c r="L5" s="1499"/>
      <c r="M5" s="1499"/>
      <c r="N5" s="1499"/>
      <c r="O5" s="206"/>
    </row>
    <row r="6" spans="1:15" ht="12.75" customHeight="1">
      <c r="A6" s="206"/>
      <c r="B6" s="1461" t="s">
        <v>267</v>
      </c>
      <c r="C6" s="1461"/>
      <c r="D6" s="1461"/>
      <c r="E6" s="1461"/>
      <c r="F6" s="1461"/>
      <c r="G6" s="1461"/>
      <c r="H6" s="1461"/>
      <c r="I6" s="1461"/>
      <c r="J6" s="1461"/>
      <c r="K6" s="1461"/>
      <c r="L6" s="1461"/>
      <c r="M6" s="1461"/>
      <c r="N6" s="1461"/>
      <c r="O6" s="206"/>
    </row>
    <row r="7" spans="1:15">
      <c r="A7" s="206"/>
      <c r="B7" s="206"/>
      <c r="C7" s="206"/>
      <c r="D7" s="206"/>
      <c r="E7" s="206"/>
      <c r="F7" s="206"/>
      <c r="G7" s="206"/>
      <c r="H7" s="206"/>
      <c r="I7" s="206"/>
      <c r="J7" s="206"/>
      <c r="K7" s="206"/>
      <c r="L7" s="206"/>
      <c r="M7" s="206"/>
      <c r="N7" s="206"/>
      <c r="O7" s="206"/>
    </row>
    <row r="8" spans="1:15" ht="13.5" thickBot="1">
      <c r="A8" s="206"/>
      <c r="B8" s="206"/>
      <c r="C8" s="206"/>
      <c r="D8" s="206"/>
      <c r="E8" s="206"/>
      <c r="F8" s="206"/>
      <c r="G8" s="206"/>
      <c r="H8" s="206"/>
      <c r="I8" s="206"/>
      <c r="J8" s="206"/>
      <c r="K8" s="206"/>
      <c r="L8" s="206"/>
      <c r="M8" s="206"/>
      <c r="N8" s="206"/>
      <c r="O8" s="206"/>
    </row>
    <row r="9" spans="1:15">
      <c r="A9" s="206"/>
      <c r="B9" s="190" t="s">
        <v>8</v>
      </c>
      <c r="C9" s="191" t="s">
        <v>268</v>
      </c>
      <c r="D9" s="191" t="s">
        <v>269</v>
      </c>
      <c r="E9" s="191" t="s">
        <v>270</v>
      </c>
      <c r="F9" s="191" t="s">
        <v>271</v>
      </c>
      <c r="G9" s="191" t="s">
        <v>272</v>
      </c>
      <c r="H9" s="191" t="s">
        <v>273</v>
      </c>
      <c r="I9" s="191" t="s">
        <v>274</v>
      </c>
      <c r="J9" s="191" t="s">
        <v>275</v>
      </c>
      <c r="K9" s="191" t="s">
        <v>276</v>
      </c>
      <c r="L9" s="191" t="s">
        <v>277</v>
      </c>
      <c r="M9" s="191" t="s">
        <v>278</v>
      </c>
      <c r="N9" s="192" t="s">
        <v>279</v>
      </c>
      <c r="O9" s="206"/>
    </row>
    <row r="10" spans="1:15" ht="13.5" thickBot="1">
      <c r="A10" s="206"/>
      <c r="B10" s="181"/>
      <c r="C10" s="182" t="s">
        <v>280</v>
      </c>
      <c r="D10" s="182" t="s">
        <v>281</v>
      </c>
      <c r="E10" s="182" t="s">
        <v>282</v>
      </c>
      <c r="F10" s="182" t="s">
        <v>283</v>
      </c>
      <c r="G10" s="182" t="s">
        <v>284</v>
      </c>
      <c r="H10" s="182" t="s">
        <v>285</v>
      </c>
      <c r="I10" s="182" t="s">
        <v>286</v>
      </c>
      <c r="J10" s="182" t="s">
        <v>287</v>
      </c>
      <c r="K10" s="182" t="s">
        <v>288</v>
      </c>
      <c r="L10" s="182" t="s">
        <v>289</v>
      </c>
      <c r="M10" s="183"/>
      <c r="N10" s="184" t="s">
        <v>290</v>
      </c>
      <c r="O10" s="206"/>
    </row>
    <row r="11" spans="1:15">
      <c r="A11" s="206"/>
      <c r="B11" s="185"/>
      <c r="C11" s="185"/>
      <c r="D11" s="185"/>
      <c r="E11" s="185"/>
      <c r="F11" s="185"/>
      <c r="G11" s="185"/>
      <c r="H11" s="185"/>
      <c r="I11" s="185"/>
      <c r="J11" s="185"/>
      <c r="K11" s="185"/>
      <c r="L11" s="185"/>
      <c r="M11" s="185"/>
      <c r="N11" s="185"/>
      <c r="O11" s="206"/>
    </row>
    <row r="12" spans="1:15">
      <c r="A12" s="206"/>
      <c r="B12" s="186">
        <v>1970</v>
      </c>
      <c r="C12" s="187">
        <v>0.26057128601721335</v>
      </c>
      <c r="D12" s="187">
        <v>0.27753523762005733</v>
      </c>
      <c r="E12" s="187">
        <v>0.11999501060246973</v>
      </c>
      <c r="F12" s="187">
        <v>8.6690782088062843E-2</v>
      </c>
      <c r="G12" s="187">
        <v>1.7462891355868777E-2</v>
      </c>
      <c r="H12" s="187">
        <v>1.0851939628289882E-2</v>
      </c>
      <c r="I12" s="187">
        <v>0.10415367344393163</v>
      </c>
      <c r="J12" s="187">
        <v>8.7314456779343883E-3</v>
      </c>
      <c r="K12" s="187">
        <v>0.11400773356617197</v>
      </c>
      <c r="L12" s="187">
        <v>1</v>
      </c>
      <c r="M12" s="188"/>
      <c r="N12" s="188"/>
      <c r="O12" s="206"/>
    </row>
    <row r="13" spans="1:15">
      <c r="A13" s="206"/>
      <c r="B13" s="186">
        <v>1971</v>
      </c>
      <c r="C13" s="187">
        <v>0.29613683965557364</v>
      </c>
      <c r="D13" s="187">
        <v>0.2863625785431696</v>
      </c>
      <c r="E13" s="187">
        <v>0.12881079823132416</v>
      </c>
      <c r="F13" s="187">
        <v>9.22736793111473E-2</v>
      </c>
      <c r="G13" s="187">
        <v>1.8850360716779146E-2</v>
      </c>
      <c r="H13" s="187">
        <v>1.0937863625785431E-2</v>
      </c>
      <c r="I13" s="187">
        <v>6.0158249941819869E-2</v>
      </c>
      <c r="J13" s="187">
        <v>8.7270188503607155E-3</v>
      </c>
      <c r="K13" s="187">
        <v>9.7742611124040021E-2</v>
      </c>
      <c r="L13" s="187">
        <v>1</v>
      </c>
      <c r="M13" s="188"/>
      <c r="N13" s="189">
        <v>7.02508960573478E-2</v>
      </c>
      <c r="O13" s="206"/>
    </row>
    <row r="14" spans="1:15">
      <c r="A14" s="206"/>
      <c r="B14" s="186">
        <v>1972</v>
      </c>
      <c r="C14" s="187">
        <v>0.30681354549163603</v>
      </c>
      <c r="D14" s="187">
        <v>0.27866177070583431</v>
      </c>
      <c r="E14" s="187">
        <v>0.11699306405548754</v>
      </c>
      <c r="F14" s="187">
        <v>0.10618115055079556</v>
      </c>
      <c r="G14" s="187">
        <v>1.9073847409220721E-2</v>
      </c>
      <c r="H14" s="187">
        <v>9.2819257445940408E-3</v>
      </c>
      <c r="I14" s="187">
        <v>3.9881680946552422E-2</v>
      </c>
      <c r="J14" s="187">
        <v>1.030191758465932E-2</v>
      </c>
      <c r="K14" s="187">
        <v>0.11281109751121991</v>
      </c>
      <c r="L14" s="187">
        <v>1</v>
      </c>
      <c r="M14" s="188"/>
      <c r="N14" s="189">
        <v>0.13931681178834543</v>
      </c>
      <c r="O14" s="206"/>
    </row>
    <row r="15" spans="1:15">
      <c r="A15" s="206"/>
      <c r="B15" s="186">
        <v>1973</v>
      </c>
      <c r="C15" s="187">
        <v>0.29555224142468633</v>
      </c>
      <c r="D15" s="187">
        <v>0.27011141328186677</v>
      </c>
      <c r="E15" s="187">
        <v>0.11264145977717344</v>
      </c>
      <c r="F15" s="187">
        <v>9.3780156154048597E-2</v>
      </c>
      <c r="G15" s="187">
        <v>1.6404947802438809E-2</v>
      </c>
      <c r="H15" s="187">
        <v>7.5445214492499335E-3</v>
      </c>
      <c r="I15" s="187">
        <v>6.0794806561979116E-2</v>
      </c>
      <c r="J15" s="187">
        <v>6.4040705325028504E-3</v>
      </c>
      <c r="K15" s="187">
        <v>0.1367663830160542</v>
      </c>
      <c r="L15" s="187">
        <v>1</v>
      </c>
      <c r="M15" s="188"/>
      <c r="N15" s="189">
        <v>3.292181069958855E-2</v>
      </c>
      <c r="O15" s="206"/>
    </row>
    <row r="16" spans="1:15">
      <c r="A16" s="206"/>
      <c r="B16" s="186">
        <v>1974</v>
      </c>
      <c r="C16" s="187">
        <v>0.29886759581881533</v>
      </c>
      <c r="D16" s="187">
        <v>0.29686411149825787</v>
      </c>
      <c r="E16" s="187">
        <v>0.10879790940766551</v>
      </c>
      <c r="F16" s="187">
        <v>0.10452961672473868</v>
      </c>
      <c r="G16" s="187">
        <v>1.6550522648083623E-2</v>
      </c>
      <c r="H16" s="187">
        <v>3.0487804878048782E-3</v>
      </c>
      <c r="I16" s="187">
        <v>1.6027874564459928E-2</v>
      </c>
      <c r="J16" s="187">
        <v>9.5818815331010446E-3</v>
      </c>
      <c r="K16" s="187">
        <v>0.14573170731707313</v>
      </c>
      <c r="L16" s="187">
        <v>1</v>
      </c>
      <c r="M16" s="188"/>
      <c r="N16" s="189">
        <v>7.1713147410358724E-2</v>
      </c>
      <c r="O16" s="206"/>
    </row>
    <row r="17" spans="1:15">
      <c r="A17" s="206"/>
      <c r="B17" s="186">
        <v>1975</v>
      </c>
      <c r="C17" s="187">
        <v>0.29762002799967058</v>
      </c>
      <c r="D17" s="187">
        <v>0.28971423865601581</v>
      </c>
      <c r="E17" s="187">
        <v>0.10928106728156139</v>
      </c>
      <c r="F17" s="187">
        <v>0.1170221526805567</v>
      </c>
      <c r="G17" s="187">
        <v>1.6388042493617722E-2</v>
      </c>
      <c r="H17" s="187">
        <v>3.3764308655192289E-3</v>
      </c>
      <c r="I17" s="187">
        <v>1.2105739932471382E-2</v>
      </c>
      <c r="J17" s="187">
        <v>1.1776332043152435E-2</v>
      </c>
      <c r="K17" s="187">
        <v>0.14271596804743469</v>
      </c>
      <c r="L17" s="187">
        <v>1</v>
      </c>
      <c r="M17" s="188"/>
      <c r="N17" s="189">
        <v>4.4078597981943579E-2</v>
      </c>
      <c r="O17" s="206"/>
    </row>
    <row r="18" spans="1:15">
      <c r="A18" s="206"/>
      <c r="B18" s="186">
        <v>1976</v>
      </c>
      <c r="C18" s="187">
        <v>0.2916882924297472</v>
      </c>
      <c r="D18" s="187">
        <v>0.27003781419144363</v>
      </c>
      <c r="E18" s="187">
        <v>9.5721806183732494E-2</v>
      </c>
      <c r="F18" s="187">
        <v>0.13183065173871139</v>
      </c>
      <c r="G18" s="187">
        <v>1.542225847112034E-2</v>
      </c>
      <c r="H18" s="187">
        <v>3.4106917772669981E-3</v>
      </c>
      <c r="I18" s="187">
        <v>2.8620152739675248E-2</v>
      </c>
      <c r="J18" s="187">
        <v>1.0825239119151777E-2</v>
      </c>
      <c r="K18" s="187">
        <v>0.15244309334915115</v>
      </c>
      <c r="L18" s="187">
        <v>1</v>
      </c>
      <c r="M18" s="188"/>
      <c r="N18" s="189">
        <v>0.15768056968463884</v>
      </c>
      <c r="O18" s="206"/>
    </row>
    <row r="19" spans="1:15">
      <c r="A19" s="206"/>
      <c r="B19" s="186">
        <v>1977</v>
      </c>
      <c r="C19" s="187">
        <v>0.27752878714748669</v>
      </c>
      <c r="D19" s="187">
        <v>0.27346066331103908</v>
      </c>
      <c r="E19" s="187">
        <v>8.8188650624008824E-2</v>
      </c>
      <c r="F19" s="187">
        <v>0.13548920912914567</v>
      </c>
      <c r="G19" s="187">
        <v>1.5789836585534026E-2</v>
      </c>
      <c r="H19" s="187">
        <v>3.5854650761911327E-3</v>
      </c>
      <c r="I19" s="187">
        <v>6.4676273874370804E-2</v>
      </c>
      <c r="J19" s="187">
        <v>1.0135833965386471E-2</v>
      </c>
      <c r="K19" s="187">
        <v>0.13114528028683722</v>
      </c>
      <c r="L19" s="187">
        <v>1</v>
      </c>
      <c r="M19" s="188"/>
      <c r="N19" s="189">
        <v>3.5588752196836548E-2</v>
      </c>
      <c r="O19" s="206"/>
    </row>
    <row r="20" spans="1:15">
      <c r="A20" s="206"/>
      <c r="B20" s="186">
        <v>1978</v>
      </c>
      <c r="C20" s="187">
        <v>0.28119256687768029</v>
      </c>
      <c r="D20" s="187">
        <v>0.28527670002042077</v>
      </c>
      <c r="E20" s="187">
        <v>9.6998162140085789E-2</v>
      </c>
      <c r="F20" s="187">
        <v>0.15213395956708192</v>
      </c>
      <c r="G20" s="187">
        <v>1.6200394799537134E-2</v>
      </c>
      <c r="H20" s="187">
        <v>5.105166428425568E-3</v>
      </c>
      <c r="I20" s="187">
        <v>1.5723912599550749E-2</v>
      </c>
      <c r="J20" s="187">
        <v>1.061874617112518E-2</v>
      </c>
      <c r="K20" s="187">
        <v>0.1367503913960928</v>
      </c>
      <c r="L20" s="187">
        <v>1</v>
      </c>
      <c r="M20" s="188"/>
      <c r="N20" s="189">
        <v>6.9579974543911849E-2</v>
      </c>
      <c r="O20" s="206"/>
    </row>
    <row r="21" spans="1:15">
      <c r="A21" s="206"/>
      <c r="B21" s="186">
        <v>1979</v>
      </c>
      <c r="C21" s="187">
        <v>0.25794663573085846</v>
      </c>
      <c r="D21" s="187">
        <v>0.25812064965197218</v>
      </c>
      <c r="E21" s="187">
        <v>9.3851508120649657E-2</v>
      </c>
      <c r="F21" s="187">
        <v>0.1451276102088167</v>
      </c>
      <c r="G21" s="187">
        <v>1.4965197215777262E-2</v>
      </c>
      <c r="H21" s="187">
        <v>5.4524361948955916E-3</v>
      </c>
      <c r="I21" s="187">
        <v>7.4245939675174011E-2</v>
      </c>
      <c r="J21" s="187">
        <v>9.2807424593967514E-3</v>
      </c>
      <c r="K21" s="187">
        <v>0.14100928074245933</v>
      </c>
      <c r="L21" s="187">
        <v>1</v>
      </c>
      <c r="M21" s="188"/>
      <c r="N21" s="189">
        <v>0.13209044030146755</v>
      </c>
      <c r="O21" s="206"/>
    </row>
    <row r="22" spans="1:15">
      <c r="A22" s="206"/>
      <c r="B22" s="186">
        <v>1980</v>
      </c>
      <c r="C22" s="187">
        <v>0.26017648733276394</v>
      </c>
      <c r="D22" s="187">
        <v>0.27281525761457437</v>
      </c>
      <c r="E22" s="187">
        <v>0.10498149729575859</v>
      </c>
      <c r="F22" s="187">
        <v>0.16009109023626525</v>
      </c>
      <c r="G22" s="187">
        <v>1.7648733276401932E-2</v>
      </c>
      <c r="H22" s="187">
        <v>5.4654141759180172E-3</v>
      </c>
      <c r="I22" s="187">
        <v>9.1090236265300283E-3</v>
      </c>
      <c r="J22" s="187">
        <v>7.9134642755479632E-3</v>
      </c>
      <c r="K22" s="187">
        <v>0.16179903216623978</v>
      </c>
      <c r="L22" s="187">
        <v>1</v>
      </c>
      <c r="M22" s="188"/>
      <c r="N22" s="189">
        <v>7.0427470217238941E-2</v>
      </c>
      <c r="O22" s="206"/>
    </row>
    <row r="23" spans="1:15">
      <c r="A23" s="206"/>
      <c r="B23" s="186">
        <v>1981</v>
      </c>
      <c r="C23" s="187">
        <v>0.25468204990609072</v>
      </c>
      <c r="D23" s="187">
        <v>0.26723906627314198</v>
      </c>
      <c r="E23" s="187">
        <v>0.10110008049369468</v>
      </c>
      <c r="F23" s="187">
        <v>0.15422591896968071</v>
      </c>
      <c r="G23" s="187">
        <v>1.7601287899114571E-2</v>
      </c>
      <c r="H23" s="187">
        <v>5.7955460155621153E-3</v>
      </c>
      <c r="I23" s="187">
        <v>2.4953045344781329E-2</v>
      </c>
      <c r="J23" s="187">
        <v>8.4786691709149466E-3</v>
      </c>
      <c r="K23" s="187">
        <v>0.16592433592701897</v>
      </c>
      <c r="L23" s="187">
        <v>1</v>
      </c>
      <c r="M23" s="188"/>
      <c r="N23" s="189">
        <v>4.7135842880523748E-2</v>
      </c>
      <c r="O23" s="206"/>
    </row>
    <row r="24" spans="1:15">
      <c r="A24" s="206"/>
      <c r="B24" s="186">
        <v>1982</v>
      </c>
      <c r="C24" s="187">
        <v>0.24575227776409753</v>
      </c>
      <c r="D24" s="187">
        <v>0.26200443240581139</v>
      </c>
      <c r="E24" s="187">
        <v>0.10736271854223098</v>
      </c>
      <c r="F24" s="187">
        <v>0.15331199212016744</v>
      </c>
      <c r="G24" s="187">
        <v>1.7089386850529426E-2</v>
      </c>
      <c r="H24" s="187">
        <v>6.0576212755478953E-3</v>
      </c>
      <c r="I24" s="187">
        <v>2.5313962078305836E-2</v>
      </c>
      <c r="J24" s="187">
        <v>7.9290815070179772E-3</v>
      </c>
      <c r="K24" s="187">
        <v>0.17517852745629159</v>
      </c>
      <c r="L24" s="187">
        <v>1</v>
      </c>
      <c r="M24" s="188"/>
      <c r="N24" s="189">
        <v>0.13222882150672088</v>
      </c>
      <c r="O24" s="206"/>
    </row>
    <row r="25" spans="1:15">
      <c r="A25" s="206"/>
      <c r="B25" s="186">
        <v>1983</v>
      </c>
      <c r="C25" s="187">
        <v>0.24066560291771141</v>
      </c>
      <c r="D25" s="187">
        <v>0.25890129929336675</v>
      </c>
      <c r="E25" s="187">
        <v>9.9749259174834751E-2</v>
      </c>
      <c r="F25" s="187">
        <v>0.15372692044677455</v>
      </c>
      <c r="G25" s="187">
        <v>1.6776840665602918E-2</v>
      </c>
      <c r="H25" s="187">
        <v>5.7898335992705718E-3</v>
      </c>
      <c r="I25" s="187">
        <v>6.0542511967175749E-2</v>
      </c>
      <c r="J25" s="187">
        <v>7.5222247549578299E-3</v>
      </c>
      <c r="K25" s="187">
        <v>0.1563255071803055</v>
      </c>
      <c r="L25" s="187">
        <v>1</v>
      </c>
      <c r="M25" s="188"/>
      <c r="N25" s="189">
        <v>3.5339591385974645E-2</v>
      </c>
      <c r="O25" s="206"/>
    </row>
    <row r="26" spans="1:15">
      <c r="A26" s="206"/>
      <c r="B26" s="186">
        <v>1984</v>
      </c>
      <c r="C26" s="187">
        <v>0.23428725459364746</v>
      </c>
      <c r="D26" s="187">
        <v>0.25805292241340572</v>
      </c>
      <c r="E26" s="187">
        <v>0.10274495709600608</v>
      </c>
      <c r="F26" s="187">
        <v>0.14672716653937731</v>
      </c>
      <c r="G26" s="187">
        <v>1.6667415427467538E-2</v>
      </c>
      <c r="H26" s="187">
        <v>5.5707803585066705E-3</v>
      </c>
      <c r="I26" s="187">
        <v>4.4386540275843468E-2</v>
      </c>
      <c r="J26" s="187">
        <v>7.6373601689204351E-3</v>
      </c>
      <c r="K26" s="187">
        <v>0.1839256031268251</v>
      </c>
      <c r="L26" s="187">
        <v>1</v>
      </c>
      <c r="M26" s="188"/>
      <c r="N26" s="189">
        <v>2.8799999999999937E-2</v>
      </c>
      <c r="O26" s="206"/>
    </row>
    <row r="27" spans="1:15">
      <c r="A27" s="206"/>
      <c r="B27" s="186">
        <v>1985</v>
      </c>
      <c r="C27" s="187">
        <v>0.23192009614986112</v>
      </c>
      <c r="D27" s="187">
        <v>0.25272493679804375</v>
      </c>
      <c r="E27" s="187">
        <v>0.10460441792034479</v>
      </c>
      <c r="F27" s="187">
        <v>0.14505366985784737</v>
      </c>
      <c r="G27" s="187">
        <v>1.5624352438973846E-2</v>
      </c>
      <c r="H27" s="187">
        <v>5.2633760205561759E-3</v>
      </c>
      <c r="I27" s="187">
        <v>4.3474657051680542E-2</v>
      </c>
      <c r="J27" s="187">
        <v>7.0454639645240154E-3</v>
      </c>
      <c r="K27" s="187">
        <v>0.1942890297981682</v>
      </c>
      <c r="L27" s="187">
        <v>1</v>
      </c>
      <c r="M27" s="188"/>
      <c r="N27" s="189">
        <v>9.9015033696215671E-2</v>
      </c>
      <c r="O27" s="206"/>
    </row>
    <row r="28" spans="1:15">
      <c r="A28" s="206"/>
      <c r="B28" s="186">
        <v>1986</v>
      </c>
      <c r="C28" s="187">
        <v>0.23654363331644387</v>
      </c>
      <c r="D28" s="187">
        <v>0.25244572631250733</v>
      </c>
      <c r="E28" s="187">
        <v>0.10429902170947501</v>
      </c>
      <c r="F28" s="187">
        <v>0.14132595393070119</v>
      </c>
      <c r="G28" s="187">
        <v>1.5317457224149355E-2</v>
      </c>
      <c r="H28" s="187">
        <v>5.0278676384612388E-3</v>
      </c>
      <c r="I28" s="187">
        <v>3.5779709241142772E-2</v>
      </c>
      <c r="J28" s="187">
        <v>6.3530420547998605E-3</v>
      </c>
      <c r="K28" s="187">
        <v>0.20290758857231941</v>
      </c>
      <c r="L28" s="187">
        <v>1</v>
      </c>
      <c r="M28" s="188"/>
      <c r="N28" s="189">
        <v>5.1650943396226445E-2</v>
      </c>
      <c r="O28" s="206"/>
    </row>
    <row r="29" spans="1:15">
      <c r="A29" s="206"/>
      <c r="B29" s="186">
        <v>1987</v>
      </c>
      <c r="C29" s="187">
        <v>0.24113088090819784</v>
      </c>
      <c r="D29" s="187">
        <v>0.24684350325655863</v>
      </c>
      <c r="E29" s="187">
        <v>0.11115962595058765</v>
      </c>
      <c r="F29" s="187">
        <v>0.13830367863770332</v>
      </c>
      <c r="G29" s="187">
        <v>1.4991085398246191E-2</v>
      </c>
      <c r="H29" s="187">
        <v>4.8393552377833582E-3</v>
      </c>
      <c r="I29" s="187">
        <v>3.3111377942728233E-2</v>
      </c>
      <c r="J29" s="187">
        <v>6.876978495797402E-3</v>
      </c>
      <c r="K29" s="187">
        <v>0.20274351417239744</v>
      </c>
      <c r="L29" s="187">
        <v>1</v>
      </c>
      <c r="M29" s="188"/>
      <c r="N29" s="189">
        <v>6.4812738282126192E-2</v>
      </c>
      <c r="O29" s="206"/>
    </row>
    <row r="30" spans="1:15">
      <c r="A30" s="206"/>
      <c r="B30" s="186">
        <v>1988</v>
      </c>
      <c r="C30" s="187">
        <v>0.25392457071979535</v>
      </c>
      <c r="D30" s="187">
        <v>0.23469901934183496</v>
      </c>
      <c r="E30" s="187">
        <v>9.5623861389976347E-2</v>
      </c>
      <c r="F30" s="187">
        <v>0.14101321756657234</v>
      </c>
      <c r="G30" s="187">
        <v>1.6395984340478311E-2</v>
      </c>
      <c r="H30" s="187">
        <v>5.0001938059614712E-3</v>
      </c>
      <c r="I30" s="187">
        <v>4.5273072599713166E-2</v>
      </c>
      <c r="J30" s="187">
        <v>7.7522384588549938E-3</v>
      </c>
      <c r="K30" s="187">
        <v>0.20031784177681311</v>
      </c>
      <c r="L30" s="187">
        <v>1</v>
      </c>
      <c r="M30" s="188"/>
      <c r="N30" s="189">
        <v>-8.2139848357203338E-3</v>
      </c>
      <c r="O30" s="206"/>
    </row>
    <row r="31" spans="1:15">
      <c r="A31" s="206"/>
      <c r="B31" s="186">
        <v>1989</v>
      </c>
      <c r="C31" s="187">
        <v>0.23377909856364534</v>
      </c>
      <c r="D31" s="187">
        <v>0.23267421038594888</v>
      </c>
      <c r="E31" s="187">
        <v>9.7115860860288783E-2</v>
      </c>
      <c r="F31" s="187">
        <v>0.13590124585666932</v>
      </c>
      <c r="G31" s="187">
        <v>1.6382824703775667E-2</v>
      </c>
      <c r="H31" s="187">
        <v>4.8767478187983389E-3</v>
      </c>
      <c r="I31" s="187">
        <v>2.7050710557397033E-2</v>
      </c>
      <c r="J31" s="187">
        <v>7.9628147978816621E-3</v>
      </c>
      <c r="K31" s="187">
        <v>0.24425648645559486</v>
      </c>
      <c r="L31" s="187">
        <v>1</v>
      </c>
      <c r="M31" s="188"/>
      <c r="N31" s="189">
        <v>-5.2452750053089803E-2</v>
      </c>
      <c r="O31" s="206"/>
    </row>
    <row r="32" spans="1:15">
      <c r="A32" s="206"/>
      <c r="B32" s="186">
        <v>1990</v>
      </c>
      <c r="C32" s="187">
        <v>0.2320745784931357</v>
      </c>
      <c r="D32" s="187">
        <v>0.23072721313863298</v>
      </c>
      <c r="E32" s="187">
        <v>0.10068824878919194</v>
      </c>
      <c r="F32" s="187">
        <v>0.12916499763300682</v>
      </c>
      <c r="G32" s="187">
        <v>1.6059138414478716E-2</v>
      </c>
      <c r="H32" s="187">
        <v>4.515494701576782E-3</v>
      </c>
      <c r="I32" s="187">
        <v>2.6291832052729325E-2</v>
      </c>
      <c r="J32" s="187">
        <v>8.0841921270164967E-3</v>
      </c>
      <c r="K32" s="187">
        <v>0.25239430465023122</v>
      </c>
      <c r="L32" s="187">
        <v>1</v>
      </c>
      <c r="M32" s="188"/>
      <c r="N32" s="189">
        <v>4.0788883908561058E-2</v>
      </c>
      <c r="O32" s="206"/>
    </row>
    <row r="33" spans="1:15">
      <c r="A33" s="206"/>
      <c r="B33" s="186">
        <v>1991</v>
      </c>
      <c r="C33" s="187">
        <v>0.23247945867568878</v>
      </c>
      <c r="D33" s="187">
        <v>0.24273285921425125</v>
      </c>
      <c r="E33" s="187">
        <v>0.11085410481253886</v>
      </c>
      <c r="F33" s="187">
        <v>0.12069322654146243</v>
      </c>
      <c r="G33" s="187">
        <v>1.5569978595594839E-2</v>
      </c>
      <c r="H33" s="187">
        <v>4.3154042670717398E-3</v>
      </c>
      <c r="I33" s="187">
        <v>2.0368708140578614E-2</v>
      </c>
      <c r="J33" s="187">
        <v>7.6296347441828366E-3</v>
      </c>
      <c r="K33" s="187">
        <v>0.24535662500863079</v>
      </c>
      <c r="L33" s="187">
        <v>1</v>
      </c>
      <c r="M33" s="188"/>
      <c r="N33" s="189">
        <v>5.1894918173988058E-2</v>
      </c>
      <c r="O33" s="206"/>
    </row>
    <row r="34" spans="1:15">
      <c r="A34" s="206"/>
      <c r="B34" s="186">
        <v>1992</v>
      </c>
      <c r="C34" s="187">
        <v>0.23784699163235484</v>
      </c>
      <c r="D34" s="187">
        <v>0.25039845929074245</v>
      </c>
      <c r="E34" s="187">
        <v>0.12159649355824145</v>
      </c>
      <c r="F34" s="187">
        <v>0.12212777261256474</v>
      </c>
      <c r="G34" s="187">
        <v>1.5108248107318367E-2</v>
      </c>
      <c r="H34" s="187">
        <v>4.3498472572718813E-3</v>
      </c>
      <c r="I34" s="187">
        <v>8.8989241599149952E-3</v>
      </c>
      <c r="J34" s="187">
        <v>7.1722672333643239E-3</v>
      </c>
      <c r="K34" s="187">
        <v>0.23250099614822692</v>
      </c>
      <c r="L34" s="187">
        <v>1</v>
      </c>
      <c r="M34" s="188"/>
      <c r="N34" s="189">
        <v>6.0388945752303025E-2</v>
      </c>
      <c r="O34" s="206"/>
    </row>
    <row r="35" spans="1:15">
      <c r="A35" s="206"/>
      <c r="B35" s="186">
        <v>1993</v>
      </c>
      <c r="C35" s="187">
        <v>0.2343784189303241</v>
      </c>
      <c r="D35" s="187">
        <v>0.2624488137288612</v>
      </c>
      <c r="E35" s="187">
        <v>0.1281297865024538</v>
      </c>
      <c r="F35" s="187">
        <v>0.12278453314994842</v>
      </c>
      <c r="G35" s="187">
        <v>1.3972679816198305E-2</v>
      </c>
      <c r="H35" s="187">
        <v>4.1574192741708604E-3</v>
      </c>
      <c r="I35" s="187">
        <v>4.8763714794786027E-3</v>
      </c>
      <c r="J35" s="187">
        <v>6.4080522646994464E-3</v>
      </c>
      <c r="K35" s="187">
        <v>0.22284392485386514</v>
      </c>
      <c r="L35" s="187">
        <v>1</v>
      </c>
      <c r="M35" s="188"/>
      <c r="N35" s="189">
        <v>4.4787644787644965E-2</v>
      </c>
      <c r="O35" s="206"/>
    </row>
    <row r="36" spans="1:15">
      <c r="A36" s="206"/>
      <c r="B36" s="186">
        <v>1994</v>
      </c>
      <c r="C36" s="187">
        <v>0.23191176470588237</v>
      </c>
      <c r="D36" s="187">
        <v>0.26855882352941179</v>
      </c>
      <c r="E36" s="187">
        <v>0.12638235294117647</v>
      </c>
      <c r="F36" s="187">
        <v>0.12241176470588237</v>
      </c>
      <c r="G36" s="187">
        <v>1.3088235294117649E-2</v>
      </c>
      <c r="H36" s="187">
        <v>4.0294117647058829E-3</v>
      </c>
      <c r="I36" s="187">
        <v>1.3647058823529413E-2</v>
      </c>
      <c r="J36" s="187">
        <v>5.8235294117647066E-3</v>
      </c>
      <c r="K36" s="187">
        <v>0.21414705882352941</v>
      </c>
      <c r="L36" s="187">
        <v>1</v>
      </c>
      <c r="M36" s="188"/>
      <c r="N36" s="189">
        <v>9.2941611234294008E-2</v>
      </c>
      <c r="O36" s="206"/>
    </row>
    <row r="37" spans="1:15">
      <c r="A37" s="206"/>
      <c r="B37" s="186">
        <v>1995</v>
      </c>
      <c r="C37" s="187">
        <v>0.23434823451400788</v>
      </c>
      <c r="D37" s="187">
        <v>0.27653754765983313</v>
      </c>
      <c r="E37" s="187">
        <v>0.12687185721390287</v>
      </c>
      <c r="F37" s="187">
        <v>0.12792175498701444</v>
      </c>
      <c r="G37" s="187">
        <v>1.4505166602199261E-2</v>
      </c>
      <c r="H37" s="187">
        <v>4.0338177598496991E-3</v>
      </c>
      <c r="I37" s="187">
        <v>3.5364977620600106E-3</v>
      </c>
      <c r="J37" s="187">
        <v>5.0837155329612645E-3</v>
      </c>
      <c r="K37" s="187">
        <v>0.20716140796817148</v>
      </c>
      <c r="L37" s="187">
        <v>1</v>
      </c>
      <c r="M37" s="188"/>
      <c r="N37" s="189">
        <v>4.6830092983939142E-2</v>
      </c>
      <c r="O37" s="206"/>
    </row>
    <row r="38" spans="1:15">
      <c r="A38" s="206"/>
      <c r="B38" s="186">
        <v>1996</v>
      </c>
      <c r="C38" s="187">
        <v>0.22740924179356131</v>
      </c>
      <c r="D38" s="187">
        <v>0.27448759154855368</v>
      </c>
      <c r="E38" s="187">
        <v>0.12310975288476737</v>
      </c>
      <c r="F38" s="187">
        <v>0.12919542652405289</v>
      </c>
      <c r="G38" s="187">
        <v>1.5859634332683493E-2</v>
      </c>
      <c r="H38" s="187">
        <v>3.9253912218768115E-3</v>
      </c>
      <c r="I38" s="187">
        <v>7.3502292006955051E-3</v>
      </c>
      <c r="J38" s="187">
        <v>4.7947731703461716E-3</v>
      </c>
      <c r="K38" s="187">
        <v>0.21386795932346281</v>
      </c>
      <c r="L38" s="187">
        <v>1</v>
      </c>
      <c r="M38" s="188"/>
      <c r="N38" s="189">
        <v>3.3430232558139483E-2</v>
      </c>
      <c r="O38" s="206"/>
    </row>
    <row r="39" spans="1:15">
      <c r="A39" s="206"/>
      <c r="B39" s="186">
        <v>1997</v>
      </c>
      <c r="C39" s="187">
        <v>0.22033659270402409</v>
      </c>
      <c r="D39" s="187">
        <v>0.27775949605114708</v>
      </c>
      <c r="E39" s="187">
        <v>0.11082643851071833</v>
      </c>
      <c r="F39" s="187">
        <v>0.11942929672809328</v>
      </c>
      <c r="G39" s="187">
        <v>1.4761188416698007E-2</v>
      </c>
      <c r="H39" s="187">
        <v>5.5236931177134263E-3</v>
      </c>
      <c r="I39" s="187">
        <v>2.3481572019556227E-2</v>
      </c>
      <c r="J39" s="187">
        <v>4.0428732606242954E-3</v>
      </c>
      <c r="K39" s="187">
        <v>0.2238388491914253</v>
      </c>
      <c r="L39" s="187">
        <v>1</v>
      </c>
      <c r="M39" s="188"/>
      <c r="N39" s="189">
        <v>0.10423503672448819</v>
      </c>
      <c r="O39" s="206"/>
    </row>
    <row r="40" spans="1:15">
      <c r="A40" s="206"/>
      <c r="B40" s="186">
        <v>1998</v>
      </c>
      <c r="C40" s="187">
        <v>0.23385632478234555</v>
      </c>
      <c r="D40" s="187">
        <v>0.31239815633874946</v>
      </c>
      <c r="E40" s="187">
        <v>0.11350621537315518</v>
      </c>
      <c r="F40" s="187">
        <v>0.11103868895199963</v>
      </c>
      <c r="G40" s="187">
        <v>1.4991386936077098E-2</v>
      </c>
      <c r="H40" s="187">
        <v>3.8875180408771354E-3</v>
      </c>
      <c r="I40" s="187">
        <v>2.3278551142976861E-8</v>
      </c>
      <c r="J40" s="187">
        <v>0</v>
      </c>
      <c r="K40" s="187">
        <v>0.21032168629824485</v>
      </c>
      <c r="L40" s="187">
        <v>1</v>
      </c>
      <c r="M40" s="188"/>
      <c r="N40" s="189">
        <v>2.8021511463345528E-2</v>
      </c>
      <c r="O40" s="206"/>
    </row>
    <row r="41" spans="1:15">
      <c r="A41" s="206"/>
      <c r="B41" s="186">
        <v>1999</v>
      </c>
      <c r="C41" s="187">
        <v>0.23285283271873955</v>
      </c>
      <c r="D41" s="187">
        <v>0.32383506537043244</v>
      </c>
      <c r="E41" s="187">
        <v>0.1171751033635043</v>
      </c>
      <c r="F41" s="187">
        <v>0.10912951167728238</v>
      </c>
      <c r="G41" s="187">
        <v>1.4549111632584644E-2</v>
      </c>
      <c r="H41" s="187">
        <v>2.1007933847357247E-3</v>
      </c>
      <c r="I41" s="187">
        <v>2.2348865795060902E-8</v>
      </c>
      <c r="J41" s="187">
        <v>0</v>
      </c>
      <c r="K41" s="187">
        <v>0.20035755950385514</v>
      </c>
      <c r="L41" s="187">
        <v>1</v>
      </c>
      <c r="M41" s="188"/>
      <c r="N41" s="189">
        <v>3.8683920704845942E-2</v>
      </c>
      <c r="O41" s="206"/>
    </row>
    <row r="42" spans="1:15">
      <c r="A42" s="206"/>
      <c r="B42" s="186">
        <v>2000</v>
      </c>
      <c r="C42" s="187">
        <v>0.22508303975842978</v>
      </c>
      <c r="D42" s="187">
        <v>0.31589330649219932</v>
      </c>
      <c r="E42" s="187">
        <v>0.10194262707599396</v>
      </c>
      <c r="F42" s="187">
        <v>0.10925012581781582</v>
      </c>
      <c r="G42" s="187">
        <v>1.1051836940110719E-2</v>
      </c>
      <c r="H42" s="187">
        <v>1.9325616507297433E-3</v>
      </c>
      <c r="I42" s="187">
        <v>2.0130850528434827E-8</v>
      </c>
      <c r="J42" s="187">
        <v>4.0261701056869654E-5</v>
      </c>
      <c r="K42" s="187">
        <v>0.23480622043281327</v>
      </c>
      <c r="L42" s="187">
        <v>1</v>
      </c>
      <c r="M42" s="188"/>
      <c r="N42" s="189">
        <v>2.9821073558648159E-2</v>
      </c>
      <c r="O42" s="206"/>
    </row>
    <row r="43" spans="1:15">
      <c r="A43" s="206"/>
      <c r="B43" s="186">
        <v>2001</v>
      </c>
      <c r="C43" s="187">
        <v>0.23226464529290586</v>
      </c>
      <c r="D43" s="187">
        <v>0.32380647612952262</v>
      </c>
      <c r="E43" s="187">
        <v>9.6121922438448776E-2</v>
      </c>
      <c r="F43" s="187">
        <v>0.11558231164623294</v>
      </c>
      <c r="G43" s="187">
        <v>1.6240324806496131E-2</v>
      </c>
      <c r="H43" s="187">
        <v>2.1400428008560173E-3</v>
      </c>
      <c r="I43" s="187">
        <v>2.0000400008000162E-8</v>
      </c>
      <c r="J43" s="187">
        <v>6.4001280025600515E-4</v>
      </c>
      <c r="K43" s="187">
        <v>0.21320424408488167</v>
      </c>
      <c r="L43" s="187">
        <v>1</v>
      </c>
      <c r="M43" s="188"/>
      <c r="N43" s="189">
        <v>5.0579150579150411E-2</v>
      </c>
      <c r="O43" s="206"/>
    </row>
    <row r="44" spans="1:15">
      <c r="A44" s="206"/>
      <c r="B44" s="186">
        <v>2002</v>
      </c>
      <c r="C44" s="187">
        <v>0.24149223432981598</v>
      </c>
      <c r="D44" s="187">
        <v>0.33199915736254476</v>
      </c>
      <c r="E44" s="187">
        <v>8.3995633605913791E-2</v>
      </c>
      <c r="F44" s="187">
        <v>0.11132389834728153</v>
      </c>
      <c r="G44" s="187">
        <v>1.5167474194227934E-2</v>
      </c>
      <c r="H44" s="187">
        <v>1.7235766129804471E-3</v>
      </c>
      <c r="I44" s="187">
        <v>1.9150851255338303E-8</v>
      </c>
      <c r="J44" s="187">
        <v>1.972537679299845E-3</v>
      </c>
      <c r="K44" s="187">
        <v>0.21232546871708441</v>
      </c>
      <c r="L44" s="187">
        <v>1</v>
      </c>
      <c r="M44" s="188"/>
      <c r="N44" s="189">
        <v>2.1536199926497579E-2</v>
      </c>
      <c r="O44" s="206"/>
    </row>
    <row r="45" spans="1:15">
      <c r="A45" s="206"/>
      <c r="B45" s="186">
        <v>2003</v>
      </c>
      <c r="C45" s="187">
        <v>0.25103882005016287</v>
      </c>
      <c r="D45" s="187">
        <v>0.36459776138958566</v>
      </c>
      <c r="E45" s="187">
        <v>6.0214127952682231E-2</v>
      </c>
      <c r="F45" s="187">
        <v>0.11041440497136226</v>
      </c>
      <c r="G45" s="187">
        <v>1.7762886983865536E-2</v>
      </c>
      <c r="H45" s="187">
        <v>1.6017856474375774E-3</v>
      </c>
      <c r="I45" s="187">
        <v>1.8717478381312473E-8</v>
      </c>
      <c r="J45" s="187">
        <v>5.0537191629543678E-4</v>
      </c>
      <c r="K45" s="187">
        <v>0.19386482237113012</v>
      </c>
      <c r="L45" s="187">
        <v>1</v>
      </c>
      <c r="M45" s="188"/>
      <c r="N45" s="189">
        <v>3.3506020050846796E-2</v>
      </c>
      <c r="O45" s="206"/>
    </row>
    <row r="46" spans="1:15">
      <c r="A46" s="206"/>
      <c r="B46" s="186">
        <v>2004</v>
      </c>
      <c r="C46" s="187">
        <v>0.25806856937713152</v>
      </c>
      <c r="D46" s="187">
        <v>0.37070543887991375</v>
      </c>
      <c r="E46" s="187">
        <v>6.0491832705079865E-2</v>
      </c>
      <c r="F46" s="187">
        <v>0.1141267276970023</v>
      </c>
      <c r="G46" s="187">
        <v>1.9170705438879911E-2</v>
      </c>
      <c r="H46" s="187">
        <v>8.9750493627714938E-4</v>
      </c>
      <c r="I46" s="187">
        <v>1.7950098725542989E-8</v>
      </c>
      <c r="J46" s="187">
        <v>1.38215760186681E-3</v>
      </c>
      <c r="K46" s="187">
        <v>0.17515704541374991</v>
      </c>
      <c r="L46" s="187">
        <v>1</v>
      </c>
      <c r="M46" s="188"/>
      <c r="N46" s="189">
        <v>4.7620152700099672E-2</v>
      </c>
      <c r="O46" s="206"/>
    </row>
    <row r="47" spans="1:15">
      <c r="A47" s="206"/>
      <c r="B47" s="186">
        <v>2005</v>
      </c>
      <c r="C47" s="187">
        <v>0.26191560147084575</v>
      </c>
      <c r="D47" s="187">
        <v>0.38177201891087376</v>
      </c>
      <c r="E47" s="187">
        <v>5.9744353002976716E-2</v>
      </c>
      <c r="F47" s="187">
        <v>0.11222202766590791</v>
      </c>
      <c r="G47" s="187">
        <v>1.9296095254771498E-2</v>
      </c>
      <c r="H47" s="187">
        <v>8.5799334617405029E-4</v>
      </c>
      <c r="I47" s="187">
        <v>1.7510068289266332E-8</v>
      </c>
      <c r="J47" s="187">
        <v>1.3132551216949748E-3</v>
      </c>
      <c r="K47" s="187">
        <v>0.1628786377166872</v>
      </c>
      <c r="L47" s="187">
        <v>1</v>
      </c>
      <c r="M47" s="188"/>
      <c r="N47" s="189">
        <v>2.259486520612275E-2</v>
      </c>
      <c r="O47" s="206"/>
    </row>
    <row r="48" spans="1:15">
      <c r="A48" s="206"/>
      <c r="B48" s="186">
        <v>2006</v>
      </c>
      <c r="C48" s="187">
        <v>0.26175080613515772</v>
      </c>
      <c r="D48" s="187">
        <v>0.36398751130295326</v>
      </c>
      <c r="E48" s="187">
        <v>8.3718628973094705E-2</v>
      </c>
      <c r="F48" s="187">
        <v>0.11174995308208076</v>
      </c>
      <c r="G48" s="187">
        <v>1.9876136693225053E-2</v>
      </c>
      <c r="H48" s="187">
        <v>1.7061061539248974E-9</v>
      </c>
      <c r="I48" s="187">
        <v>1.7061061539248973E-8</v>
      </c>
      <c r="J48" s="187">
        <v>6.3125927695221193E-4</v>
      </c>
      <c r="K48" s="187">
        <v>0.15828568576936861</v>
      </c>
      <c r="L48" s="187">
        <v>1</v>
      </c>
      <c r="M48" s="188"/>
      <c r="N48" s="189">
        <v>2.7576197387518153E-2</v>
      </c>
      <c r="O48" s="206"/>
    </row>
    <row r="49" spans="1:15">
      <c r="A49" s="206"/>
      <c r="B49" s="186">
        <v>2007</v>
      </c>
      <c r="C49" s="187">
        <v>0.26228900914830561</v>
      </c>
      <c r="D49" s="187">
        <v>0.37733539492333457</v>
      </c>
      <c r="E49" s="187">
        <v>8.1513335910320811E-2</v>
      </c>
      <c r="F49" s="187">
        <v>0.11222780569514235</v>
      </c>
      <c r="G49" s="187">
        <v>1.9327406262079627E-2</v>
      </c>
      <c r="H49" s="187">
        <v>1.6106171885066357E-9</v>
      </c>
      <c r="I49" s="187">
        <v>1.6106171885066355E-8</v>
      </c>
      <c r="J49" s="187">
        <v>5.9592835974745515E-4</v>
      </c>
      <c r="K49" s="187">
        <v>0.14671110198428045</v>
      </c>
      <c r="L49" s="187">
        <v>1</v>
      </c>
      <c r="M49" s="188"/>
      <c r="N49" s="189">
        <v>5.5506366472721114E-2</v>
      </c>
      <c r="O49" s="206"/>
    </row>
    <row r="50" spans="1:15">
      <c r="A50" s="206"/>
      <c r="B50" s="186">
        <v>2008</v>
      </c>
      <c r="C50" s="187">
        <v>0.25792308655893775</v>
      </c>
      <c r="D50" s="187">
        <v>0.38693160465990228</v>
      </c>
      <c r="E50" s="187">
        <v>7.9215207315545544E-2</v>
      </c>
      <c r="F50" s="187">
        <v>0.1090113365902543</v>
      </c>
      <c r="G50" s="187">
        <v>1.958395966428661E-2</v>
      </c>
      <c r="H50" s="187">
        <v>1.1156520105223601E-3</v>
      </c>
      <c r="I50" s="187">
        <v>1.5658273831892774E-8</v>
      </c>
      <c r="J50" s="187">
        <v>1.5031942878617061E-3</v>
      </c>
      <c r="K50" s="187">
        <v>0.14471594325441561</v>
      </c>
      <c r="L50" s="187">
        <v>1</v>
      </c>
      <c r="M50" s="188"/>
      <c r="N50" s="189">
        <v>3.0827458107811179E-2</v>
      </c>
      <c r="O50" s="206"/>
    </row>
    <row r="51" spans="1:15">
      <c r="A51" s="206"/>
      <c r="B51" s="186">
        <v>2009</v>
      </c>
      <c r="C51" s="187">
        <v>0.26680190118009389</v>
      </c>
      <c r="D51" s="187">
        <v>0.36757862653064249</v>
      </c>
      <c r="E51" s="187">
        <v>8.3220743000133268E-2</v>
      </c>
      <c r="F51" s="187">
        <v>0.10841464678620609</v>
      </c>
      <c r="G51" s="187">
        <v>1.9026607637295113E-2</v>
      </c>
      <c r="H51" s="187">
        <v>7.1072153042036213E-4</v>
      </c>
      <c r="I51" s="187">
        <v>3.4189108192546305E-3</v>
      </c>
      <c r="J51" s="187">
        <v>4.2939425796230217E-4</v>
      </c>
      <c r="K51" s="187">
        <v>0.15039844825799192</v>
      </c>
      <c r="L51" s="187">
        <v>1</v>
      </c>
      <c r="M51" s="188"/>
      <c r="N51" s="189">
        <v>8.6936304189876523E-2</v>
      </c>
      <c r="O51" s="206"/>
    </row>
    <row r="52" spans="1:15">
      <c r="A52" s="206"/>
      <c r="B52" s="186">
        <v>2010</v>
      </c>
      <c r="C52" s="187">
        <v>0.27077075017488988</v>
      </c>
      <c r="D52" s="187">
        <v>0.36366543214956853</v>
      </c>
      <c r="E52" s="187">
        <v>8.8186082877247843E-2</v>
      </c>
      <c r="F52" s="187">
        <v>0.10293129226506452</v>
      </c>
      <c r="G52" s="187">
        <v>1.8065100201637787E-2</v>
      </c>
      <c r="H52" s="187">
        <v>6.3097540567603517E-4</v>
      </c>
      <c r="I52" s="187">
        <v>1.0283102204298861E-2</v>
      </c>
      <c r="J52" s="187">
        <v>3.703551294185424E-4</v>
      </c>
      <c r="K52" s="187">
        <v>0.14509690959219798</v>
      </c>
      <c r="L52" s="187">
        <v>1</v>
      </c>
      <c r="M52" s="188"/>
      <c r="N52" s="189">
        <v>6.0972022923555524E-2</v>
      </c>
      <c r="O52" s="206"/>
    </row>
    <row r="53" spans="1:15">
      <c r="A53" s="206"/>
      <c r="B53" s="186">
        <v>2011</v>
      </c>
      <c r="C53" s="187">
        <v>0.26987374554872123</v>
      </c>
      <c r="D53" s="187">
        <v>0.37286482874716731</v>
      </c>
      <c r="E53" s="187">
        <v>8.4573679507931349E-2</v>
      </c>
      <c r="F53" s="187">
        <v>9.9527355131110384E-2</v>
      </c>
      <c r="G53" s="187">
        <v>1.7623826481061828E-2</v>
      </c>
      <c r="H53" s="187">
        <v>6.0861120103593389E-4</v>
      </c>
      <c r="I53" s="187">
        <v>9.1979436710909676E-3</v>
      </c>
      <c r="J53" s="187">
        <v>3.4962771123340884E-4</v>
      </c>
      <c r="K53" s="187">
        <v>0.14538038200064754</v>
      </c>
      <c r="L53" s="187">
        <v>1</v>
      </c>
      <c r="M53" s="187"/>
      <c r="N53" s="187">
        <v>5.3813844086021412E-2</v>
      </c>
      <c r="O53" s="206"/>
    </row>
    <row r="54" spans="1:15">
      <c r="A54" s="206"/>
      <c r="B54" s="186">
        <v>2012</v>
      </c>
      <c r="C54" s="187">
        <v>0.25955285809670914</v>
      </c>
      <c r="D54" s="187">
        <v>0.37762330282868556</v>
      </c>
      <c r="E54" s="187">
        <v>8.3641195572187133E-2</v>
      </c>
      <c r="F54" s="187">
        <v>9.3347646232984388E-2</v>
      </c>
      <c r="G54" s="187">
        <v>1.6534550612457569E-2</v>
      </c>
      <c r="H54" s="187">
        <v>6.5686450232297342E-4</v>
      </c>
      <c r="I54" s="187">
        <v>9.2972968549020572E-3</v>
      </c>
      <c r="J54" s="187">
        <v>4.0447496026715609E-4</v>
      </c>
      <c r="K54" s="187">
        <v>0.15894181033948421</v>
      </c>
      <c r="L54" s="187">
        <v>1</v>
      </c>
      <c r="M54" s="187"/>
      <c r="N54" s="187">
        <v>7.7172647991964549E-2</v>
      </c>
      <c r="O54" s="206"/>
    </row>
    <row r="55" spans="1:15">
      <c r="A55" s="206"/>
      <c r="B55" s="193">
        <v>2013</v>
      </c>
      <c r="C55" s="194">
        <v>0.2497708552791863</v>
      </c>
      <c r="D55" s="194">
        <v>0.38349469669459207</v>
      </c>
      <c r="E55" s="194">
        <v>8.1351699976592556E-2</v>
      </c>
      <c r="F55" s="194">
        <v>9.0503027813606793E-2</v>
      </c>
      <c r="G55" s="194">
        <v>1.7193665133783901E-2</v>
      </c>
      <c r="H55" s="194">
        <v>1.3930990023662091E-3</v>
      </c>
      <c r="I55" s="194">
        <v>1.7170672645532955E-2</v>
      </c>
      <c r="J55" s="194">
        <v>5.9169149843329234E-4</v>
      </c>
      <c r="K55" s="194">
        <v>0.15853059195590596</v>
      </c>
      <c r="L55" s="194">
        <v>1</v>
      </c>
      <c r="M55" s="195"/>
      <c r="N55" s="196">
        <v>7.412273271700065E-2</v>
      </c>
      <c r="O55" s="206"/>
    </row>
    <row r="56" spans="1:15">
      <c r="A56" s="206"/>
      <c r="B56" s="193">
        <v>2014</v>
      </c>
      <c r="C56" s="194">
        <v>0.24005358716240779</v>
      </c>
      <c r="D56" s="194">
        <v>0.3895234926508333</v>
      </c>
      <c r="E56" s="194">
        <v>7.9908077467419264E-2</v>
      </c>
      <c r="F56" s="194">
        <v>8.7861580903505737E-2</v>
      </c>
      <c r="G56" s="194">
        <v>1.7027658048648739E-2</v>
      </c>
      <c r="H56" s="194">
        <v>5.8876775787981503E-4</v>
      </c>
      <c r="I56" s="194">
        <v>2.2506878755988658E-2</v>
      </c>
      <c r="J56" s="194">
        <v>5.8597863964548417E-4</v>
      </c>
      <c r="K56" s="194">
        <v>0.16194397861367127</v>
      </c>
      <c r="L56" s="194">
        <v>1</v>
      </c>
      <c r="M56" s="195"/>
      <c r="N56" s="196">
        <v>7.7251103930852549E-2</v>
      </c>
      <c r="O56" s="206"/>
    </row>
    <row r="57" spans="1:15">
      <c r="A57" s="206"/>
      <c r="B57" s="193">
        <v>2015</v>
      </c>
      <c r="C57" s="194">
        <v>0.23164562286914628</v>
      </c>
      <c r="D57" s="194">
        <v>0.39704221416425373</v>
      </c>
      <c r="E57" s="194">
        <v>7.9110389075196366E-2</v>
      </c>
      <c r="F57" s="194">
        <v>8.5778601748255592E-2</v>
      </c>
      <c r="G57" s="194">
        <v>1.6947150107933056E-2</v>
      </c>
      <c r="H57" s="194">
        <v>5.859840233456079E-4</v>
      </c>
      <c r="I57" s="194">
        <v>2.1360170326238576E-2</v>
      </c>
      <c r="J57" s="194">
        <v>5.8320809225450123E-4</v>
      </c>
      <c r="K57" s="194">
        <v>0.16694665959337643</v>
      </c>
      <c r="L57" s="194">
        <v>1</v>
      </c>
      <c r="M57" s="195"/>
      <c r="N57" s="196">
        <v>7.0432453616720681E-2</v>
      </c>
      <c r="O57" s="206"/>
    </row>
    <row r="58" spans="1:15">
      <c r="A58" s="206"/>
      <c r="B58" s="193">
        <v>2016</v>
      </c>
      <c r="C58" s="194">
        <v>0.22298740620137764</v>
      </c>
      <c r="D58" s="194">
        <v>0.40367237681880525</v>
      </c>
      <c r="E58" s="194">
        <v>7.8335075093129439E-2</v>
      </c>
      <c r="F58" s="194">
        <v>8.3703045053329483E-2</v>
      </c>
      <c r="G58" s="194">
        <v>1.6842958722565124E-2</v>
      </c>
      <c r="H58" s="194">
        <v>5.8238138297203427E-4</v>
      </c>
      <c r="I58" s="194">
        <v>2.0674095956311644E-2</v>
      </c>
      <c r="J58" s="194">
        <v>5.7962251835548084E-4</v>
      </c>
      <c r="K58" s="194">
        <v>0.17262303825315403</v>
      </c>
      <c r="L58" s="194">
        <v>1</v>
      </c>
      <c r="M58" s="195"/>
      <c r="N58" s="196">
        <v>7.2274230584961963E-2</v>
      </c>
      <c r="O58" s="206"/>
    </row>
    <row r="59" spans="1:15">
      <c r="A59" s="206"/>
      <c r="B59" s="193">
        <v>2017</v>
      </c>
      <c r="C59" s="194">
        <v>0.21750342319084412</v>
      </c>
      <c r="D59" s="194">
        <v>0.41497447944787241</v>
      </c>
      <c r="E59" s="194">
        <v>7.8469239586563225E-2</v>
      </c>
      <c r="F59" s="194">
        <v>8.2842408036123888E-2</v>
      </c>
      <c r="G59" s="194">
        <v>1.6951692879842099E-2</v>
      </c>
      <c r="H59" s="194">
        <v>5.8614109941700922E-4</v>
      </c>
      <c r="I59" s="194">
        <v>2.0290244362674209E-2</v>
      </c>
      <c r="J59" s="194">
        <v>5.8336442422310636E-4</v>
      </c>
      <c r="K59" s="194">
        <v>0.16779900697243993</v>
      </c>
      <c r="L59" s="194">
        <v>1</v>
      </c>
      <c r="M59" s="195"/>
      <c r="N59" s="196">
        <v>5.7592477077979654E-2</v>
      </c>
      <c r="O59" s="206"/>
    </row>
    <row r="60" spans="1:15">
      <c r="A60" s="206"/>
      <c r="B60" s="193">
        <v>2018</v>
      </c>
      <c r="C60" s="194">
        <v>0.21212806459140204</v>
      </c>
      <c r="D60" s="194">
        <v>0.42601354263992108</v>
      </c>
      <c r="E60" s="194">
        <v>7.8537803599455461E-2</v>
      </c>
      <c r="F60" s="194">
        <v>8.206143316143838E-2</v>
      </c>
      <c r="G60" s="194">
        <v>1.7057429734975801E-2</v>
      </c>
      <c r="H60" s="194">
        <v>5.8979717771882087E-4</v>
      </c>
      <c r="I60" s="194">
        <v>1.9950506551723948E-2</v>
      </c>
      <c r="J60" s="194">
        <v>5.8700318290352024E-4</v>
      </c>
      <c r="K60" s="194">
        <v>0.16307441936046094</v>
      </c>
      <c r="L60" s="194">
        <v>1</v>
      </c>
      <c r="M60" s="195"/>
      <c r="N60" s="196">
        <v>5.712604677506361E-2</v>
      </c>
      <c r="O60" s="206"/>
    </row>
    <row r="61" spans="1:15">
      <c r="A61" s="206"/>
      <c r="B61" s="193">
        <v>2019</v>
      </c>
      <c r="C61" s="194">
        <v>0.20687479334254277</v>
      </c>
      <c r="D61" s="194">
        <v>0.43674412714853061</v>
      </c>
      <c r="E61" s="194">
        <v>7.8576148521190423E-2</v>
      </c>
      <c r="F61" s="194">
        <v>8.1363039799264555E-2</v>
      </c>
      <c r="G61" s="194">
        <v>1.716030434917416E-2</v>
      </c>
      <c r="H61" s="194">
        <v>5.9335428790809476E-4</v>
      </c>
      <c r="I61" s="194">
        <v>1.9647349261684433E-2</v>
      </c>
      <c r="J61" s="194">
        <v>5.9054344230441837E-4</v>
      </c>
      <c r="K61" s="194">
        <v>0.1584503398474007</v>
      </c>
      <c r="L61" s="194">
        <v>1</v>
      </c>
      <c r="M61" s="195"/>
      <c r="N61" s="196">
        <v>5.6607970421247433E-2</v>
      </c>
      <c r="O61" s="206"/>
    </row>
    <row r="62" spans="1:15">
      <c r="A62" s="206"/>
      <c r="B62" s="193">
        <v>2020</v>
      </c>
      <c r="C62" s="194">
        <v>0.20057545712891403</v>
      </c>
      <c r="D62" s="194">
        <v>0.44454178535679639</v>
      </c>
      <c r="E62" s="194">
        <v>7.8144563885635565E-2</v>
      </c>
      <c r="F62" s="194">
        <v>8.0276861453796797E-2</v>
      </c>
      <c r="G62" s="194">
        <v>1.7159889179145304E-2</v>
      </c>
      <c r="H62" s="194">
        <v>5.9333993251486743E-4</v>
      </c>
      <c r="I62" s="194">
        <v>2.5086859132248639E-2</v>
      </c>
      <c r="J62" s="194">
        <v>5.905291549157455E-4</v>
      </c>
      <c r="K62" s="194">
        <v>0.15303071477603264</v>
      </c>
      <c r="L62" s="194">
        <v>1</v>
      </c>
      <c r="M62" s="195"/>
      <c r="N62" s="196">
        <v>6.2262284221241027E-2</v>
      </c>
      <c r="O62" s="206"/>
    </row>
    <row r="63" spans="1:15">
      <c r="A63" s="206"/>
      <c r="B63" s="193">
        <v>2021</v>
      </c>
      <c r="C63" s="194">
        <v>0.19548891627853843</v>
      </c>
      <c r="D63" s="194">
        <v>0.45459891631990007</v>
      </c>
      <c r="E63" s="194">
        <v>7.8133760799078841E-2</v>
      </c>
      <c r="F63" s="194">
        <v>7.9710565528290062E-2</v>
      </c>
      <c r="G63" s="194">
        <v>1.7253713936329698E-2</v>
      </c>
      <c r="H63" s="194">
        <v>5.9658412450904819E-4</v>
      </c>
      <c r="I63" s="194">
        <v>2.5015623918450788E-2</v>
      </c>
      <c r="J63" s="194">
        <v>5.937579784816697E-4</v>
      </c>
      <c r="K63" s="194">
        <v>0.14860816111642158</v>
      </c>
      <c r="L63" s="194">
        <v>1</v>
      </c>
      <c r="M63" s="195"/>
      <c r="N63" s="196">
        <v>5.6004152956400599E-2</v>
      </c>
      <c r="O63" s="206"/>
    </row>
    <row r="64" spans="1:15">
      <c r="A64" s="206"/>
      <c r="B64" s="193">
        <v>2022</v>
      </c>
      <c r="C64" s="194">
        <v>0.19062022598943523</v>
      </c>
      <c r="D64" s="194">
        <v>0.46472946728314518</v>
      </c>
      <c r="E64" s="194">
        <v>7.81647232680895E-2</v>
      </c>
      <c r="F64" s="194">
        <v>7.9263479463229689E-2</v>
      </c>
      <c r="G64" s="194">
        <v>1.7357196586985948E-2</v>
      </c>
      <c r="H64" s="194">
        <v>6.001622588615393E-4</v>
      </c>
      <c r="I64" s="194">
        <v>2.4277934022222988E-2</v>
      </c>
      <c r="J64" s="194">
        <v>5.9731916244984743E-4</v>
      </c>
      <c r="K64" s="194">
        <v>0.1443894919655801</v>
      </c>
      <c r="L64" s="194">
        <v>1</v>
      </c>
      <c r="M64" s="195"/>
      <c r="N64" s="196">
        <v>5.4950632306018043E-2</v>
      </c>
      <c r="O64" s="206"/>
    </row>
    <row r="65" spans="1:15">
      <c r="A65" s="206"/>
      <c r="B65" s="193">
        <v>2023</v>
      </c>
      <c r="C65" s="194">
        <v>0.18589303570691351</v>
      </c>
      <c r="D65" s="194">
        <v>0.47445620776735759</v>
      </c>
      <c r="E65" s="194">
        <v>7.8163980779908396E-2</v>
      </c>
      <c r="F65" s="194">
        <v>7.8878152342135577E-2</v>
      </c>
      <c r="G65" s="194">
        <v>1.7455719307628955E-2</v>
      </c>
      <c r="H65" s="194">
        <v>6.0356889300743717E-4</v>
      </c>
      <c r="I65" s="194">
        <v>2.3702880221043481E-2</v>
      </c>
      <c r="J65" s="194">
        <v>6.007096586444279E-4</v>
      </c>
      <c r="K65" s="194">
        <v>0.14024574532336048</v>
      </c>
      <c r="L65" s="194">
        <v>1</v>
      </c>
      <c r="M65" s="195"/>
      <c r="N65" s="196">
        <v>5.4292708434431347E-2</v>
      </c>
      <c r="O65" s="206"/>
    </row>
    <row r="66" spans="1:15">
      <c r="A66" s="206"/>
      <c r="B66" s="193">
        <v>2024</v>
      </c>
      <c r="C66" s="194">
        <v>0.18128708515845268</v>
      </c>
      <c r="D66" s="194">
        <v>0.48394703492871366</v>
      </c>
      <c r="E66" s="194">
        <v>7.8150193119832137E-2</v>
      </c>
      <c r="F66" s="194">
        <v>7.8546259706620894E-2</v>
      </c>
      <c r="G66" s="194">
        <v>1.7552655657908332E-2</v>
      </c>
      <c r="H66" s="194">
        <v>6.0692067499929902E-4</v>
      </c>
      <c r="I66" s="194">
        <v>2.3101536988613548E-2</v>
      </c>
      <c r="J66" s="194">
        <v>6.0404556253130539E-4</v>
      </c>
      <c r="K66" s="194">
        <v>0.13620426820232828</v>
      </c>
      <c r="L66" s="194">
        <v>1</v>
      </c>
      <c r="M66" s="195"/>
      <c r="N66" s="196">
        <v>5.3758371200483435E-2</v>
      </c>
      <c r="O66" s="206"/>
    </row>
    <row r="67" spans="1:15">
      <c r="A67" s="206"/>
      <c r="B67" s="193">
        <v>2025</v>
      </c>
      <c r="C67" s="194">
        <v>0.17681483280749458</v>
      </c>
      <c r="D67" s="194">
        <v>0.49328895343916995</v>
      </c>
      <c r="E67" s="194">
        <v>7.8141717211095599E-2</v>
      </c>
      <c r="F67" s="194">
        <v>7.8272928812443271E-2</v>
      </c>
      <c r="G67" s="194">
        <v>1.7650631226827213E-2</v>
      </c>
      <c r="H67" s="194">
        <v>6.1030839020209215E-4</v>
      </c>
      <c r="I67" s="194">
        <v>2.2330202069102866E-2</v>
      </c>
      <c r="J67" s="194">
        <v>6.0741722940584281E-4</v>
      </c>
      <c r="K67" s="194">
        <v>0.13228300881425853</v>
      </c>
      <c r="L67" s="194">
        <v>1</v>
      </c>
      <c r="M67" s="195"/>
      <c r="N67" s="196">
        <v>5.3166335070612192E-2</v>
      </c>
      <c r="O67" s="206"/>
    </row>
    <row r="68" spans="1:15">
      <c r="A68" s="206"/>
      <c r="B68" s="193">
        <v>2026</v>
      </c>
      <c r="C68" s="194">
        <v>0.17154543656790661</v>
      </c>
      <c r="D68" s="194">
        <v>0.49987310267997714</v>
      </c>
      <c r="E68" s="194">
        <v>7.7731729619853876E-2</v>
      </c>
      <c r="F68" s="194">
        <v>7.7644571440746615E-2</v>
      </c>
      <c r="G68" s="194">
        <v>1.7656534030880144E-2</v>
      </c>
      <c r="H68" s="194">
        <v>6.1051249229866452E-4</v>
      </c>
      <c r="I68" s="194">
        <v>2.1473740875013882E-2</v>
      </c>
      <c r="J68" s="194">
        <v>6.0762036462732466E-4</v>
      </c>
      <c r="K68" s="194">
        <v>0.1328567519286957</v>
      </c>
      <c r="L68" s="194">
        <v>1</v>
      </c>
      <c r="M68" s="195"/>
      <c r="N68" s="196">
        <v>5.8190125694075112E-2</v>
      </c>
      <c r="O68" s="206"/>
    </row>
    <row r="69" spans="1:15">
      <c r="A69" s="206"/>
      <c r="B69" s="193">
        <v>2027</v>
      </c>
      <c r="C69" s="194">
        <v>0.16642003508178171</v>
      </c>
      <c r="D69" s="194">
        <v>0.50615866499226136</v>
      </c>
      <c r="E69" s="194">
        <v>7.7333572210305193E-2</v>
      </c>
      <c r="F69" s="194">
        <v>7.7071904720313583E-2</v>
      </c>
      <c r="G69" s="194">
        <v>1.7660577391646774E-2</v>
      </c>
      <c r="H69" s="194">
        <v>6.1065230015985514E-4</v>
      </c>
      <c r="I69" s="194">
        <v>2.0665999702109146E-2</v>
      </c>
      <c r="J69" s="194">
        <v>6.0775951018890786E-4</v>
      </c>
      <c r="K69" s="194">
        <v>0.13347083409123356</v>
      </c>
      <c r="L69" s="194">
        <v>1</v>
      </c>
      <c r="M69" s="195"/>
      <c r="N69" s="196">
        <v>5.7704145272808427E-2</v>
      </c>
      <c r="O69" s="206"/>
    </row>
    <row r="70" spans="1:15" ht="13.5" thickBot="1">
      <c r="A70" s="206"/>
      <c r="B70" s="207"/>
      <c r="C70" s="207"/>
      <c r="D70" s="207"/>
      <c r="E70" s="207"/>
      <c r="F70" s="207"/>
      <c r="G70" s="207"/>
      <c r="H70" s="207"/>
      <c r="I70" s="207"/>
      <c r="J70" s="207"/>
      <c r="K70" s="207"/>
      <c r="L70" s="207"/>
      <c r="M70" s="207"/>
      <c r="N70" s="207"/>
      <c r="O70" s="206"/>
    </row>
    <row r="71" spans="1:15">
      <c r="A71" s="206"/>
      <c r="B71" s="206"/>
      <c r="C71" s="206"/>
      <c r="D71" s="206"/>
      <c r="E71" s="206"/>
      <c r="F71" s="206"/>
      <c r="G71" s="206"/>
      <c r="H71" s="206"/>
      <c r="I71" s="206"/>
      <c r="J71" s="206"/>
      <c r="K71" s="206"/>
      <c r="L71" s="206"/>
      <c r="M71" s="206"/>
      <c r="N71" s="206"/>
      <c r="O71" s="206"/>
    </row>
  </sheetData>
  <mergeCells count="3">
    <mergeCell ref="B4:N4"/>
    <mergeCell ref="B5:N5"/>
    <mergeCell ref="B6:N6"/>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O71"/>
  <sheetViews>
    <sheetView topLeftCell="A5" workbookViewId="0">
      <selection activeCell="B5" sqref="B5:N5"/>
    </sheetView>
  </sheetViews>
  <sheetFormatPr baseColWidth="10" defaultRowHeight="12.75"/>
  <cols>
    <col min="1" max="1" width="3.140625" customWidth="1"/>
    <col min="15" max="15" width="3.42578125" customWidth="1"/>
  </cols>
  <sheetData>
    <row r="1" spans="1:15" ht="15.75">
      <c r="A1" s="206"/>
      <c r="B1" s="205" t="s">
        <v>296</v>
      </c>
      <c r="C1" s="206"/>
      <c r="D1" s="206"/>
      <c r="E1" s="206"/>
      <c r="F1" s="206"/>
      <c r="G1" s="206"/>
      <c r="H1" s="206"/>
      <c r="I1" s="206"/>
      <c r="J1" s="206"/>
      <c r="K1" s="206"/>
      <c r="L1" s="206"/>
      <c r="M1" s="206"/>
      <c r="N1" s="206"/>
      <c r="O1" s="206"/>
    </row>
    <row r="2" spans="1:15" ht="15.75">
      <c r="A2" s="206"/>
      <c r="B2" s="208" t="s">
        <v>292</v>
      </c>
      <c r="C2" s="206"/>
      <c r="D2" s="206"/>
      <c r="E2" s="206"/>
      <c r="F2" s="206"/>
      <c r="G2" s="206"/>
      <c r="H2" s="206"/>
      <c r="I2" s="206"/>
      <c r="J2" s="206"/>
      <c r="K2" s="206"/>
      <c r="L2" s="206"/>
      <c r="M2" s="206"/>
      <c r="N2" s="206"/>
      <c r="O2" s="206"/>
    </row>
    <row r="3" spans="1:15" ht="15.75">
      <c r="A3" s="206"/>
      <c r="B3" s="208" t="s">
        <v>293</v>
      </c>
      <c r="C3" s="206"/>
      <c r="D3" s="206"/>
      <c r="E3" s="206"/>
      <c r="F3" s="206"/>
      <c r="G3" s="206"/>
      <c r="H3" s="206"/>
      <c r="I3" s="206"/>
      <c r="J3" s="206"/>
      <c r="K3" s="206"/>
      <c r="L3" s="206"/>
      <c r="M3" s="206"/>
      <c r="N3" s="206"/>
      <c r="O3" s="206"/>
    </row>
    <row r="4" spans="1:15">
      <c r="A4" s="206"/>
      <c r="B4" s="206"/>
      <c r="C4" s="206"/>
      <c r="D4" s="206"/>
      <c r="E4" s="206"/>
      <c r="F4" s="206"/>
      <c r="G4" s="206"/>
      <c r="H4" s="206"/>
      <c r="I4" s="206"/>
      <c r="J4" s="206"/>
      <c r="K4" s="206"/>
      <c r="L4" s="206"/>
      <c r="M4" s="206"/>
      <c r="N4" s="206"/>
      <c r="O4" s="206"/>
    </row>
    <row r="5" spans="1:15" ht="15">
      <c r="A5" s="206"/>
      <c r="B5" s="1499" t="s">
        <v>490</v>
      </c>
      <c r="C5" s="1499"/>
      <c r="D5" s="1499"/>
      <c r="E5" s="1499"/>
      <c r="F5" s="1499"/>
      <c r="G5" s="1499"/>
      <c r="H5" s="1499"/>
      <c r="I5" s="1499"/>
      <c r="J5" s="1499"/>
      <c r="K5" s="1499"/>
      <c r="L5" s="1499"/>
      <c r="M5" s="1499"/>
      <c r="N5" s="1499"/>
      <c r="O5" s="206"/>
    </row>
    <row r="6" spans="1:15" ht="15.75">
      <c r="A6" s="206"/>
      <c r="B6" s="1461" t="s">
        <v>293</v>
      </c>
      <c r="C6" s="1461"/>
      <c r="D6" s="1461"/>
      <c r="E6" s="1461"/>
      <c r="F6" s="1461"/>
      <c r="G6" s="1461"/>
      <c r="H6" s="1461"/>
      <c r="I6" s="1461"/>
      <c r="J6" s="1461"/>
      <c r="K6" s="1461"/>
      <c r="L6" s="1461"/>
      <c r="M6" s="1461"/>
      <c r="N6" s="1461"/>
      <c r="O6" s="206"/>
    </row>
    <row r="7" spans="1:15">
      <c r="A7" s="206"/>
      <c r="B7" s="206"/>
      <c r="C7" s="206"/>
      <c r="D7" s="206"/>
      <c r="E7" s="206"/>
      <c r="F7" s="206"/>
      <c r="G7" s="206"/>
      <c r="H7" s="206"/>
      <c r="I7" s="206"/>
      <c r="J7" s="206"/>
      <c r="K7" s="206"/>
      <c r="L7" s="206"/>
      <c r="M7" s="206"/>
      <c r="N7" s="206"/>
      <c r="O7" s="206"/>
    </row>
    <row r="8" spans="1:15" ht="13.5" thickBot="1">
      <c r="A8" s="206"/>
      <c r="B8" s="206"/>
      <c r="C8" s="206"/>
      <c r="D8" s="206"/>
      <c r="E8" s="206"/>
      <c r="F8" s="206"/>
      <c r="G8" s="206"/>
      <c r="H8" s="206"/>
      <c r="I8" s="206"/>
      <c r="J8" s="206"/>
      <c r="K8" s="206"/>
      <c r="L8" s="206"/>
      <c r="M8" s="206"/>
      <c r="N8" s="206"/>
      <c r="O8" s="206"/>
    </row>
    <row r="9" spans="1:15">
      <c r="A9" s="206"/>
      <c r="B9" s="197" t="s">
        <v>8</v>
      </c>
      <c r="C9" s="198" t="s">
        <v>268</v>
      </c>
      <c r="D9" s="198" t="s">
        <v>269</v>
      </c>
      <c r="E9" s="198" t="s">
        <v>270</v>
      </c>
      <c r="F9" s="198" t="s">
        <v>271</v>
      </c>
      <c r="G9" s="198" t="s">
        <v>272</v>
      </c>
      <c r="H9" s="198" t="s">
        <v>273</v>
      </c>
      <c r="I9" s="198" t="s">
        <v>274</v>
      </c>
      <c r="J9" s="198" t="s">
        <v>275</v>
      </c>
      <c r="K9" s="198" t="s">
        <v>276</v>
      </c>
      <c r="L9" s="198" t="s">
        <v>277</v>
      </c>
      <c r="M9" s="198" t="s">
        <v>278</v>
      </c>
      <c r="N9" s="199" t="s">
        <v>279</v>
      </c>
      <c r="O9" s="206"/>
    </row>
    <row r="10" spans="1:15" ht="13.5" thickBot="1">
      <c r="A10" s="206"/>
      <c r="B10" s="200"/>
      <c r="C10" s="201" t="s">
        <v>280</v>
      </c>
      <c r="D10" s="201" t="s">
        <v>281</v>
      </c>
      <c r="E10" s="201" t="s">
        <v>282</v>
      </c>
      <c r="F10" s="201" t="s">
        <v>283</v>
      </c>
      <c r="G10" s="201" t="s">
        <v>284</v>
      </c>
      <c r="H10" s="201" t="s">
        <v>285</v>
      </c>
      <c r="I10" s="201" t="s">
        <v>286</v>
      </c>
      <c r="J10" s="201" t="s">
        <v>287</v>
      </c>
      <c r="K10" s="201" t="s">
        <v>288</v>
      </c>
      <c r="L10" s="201" t="s">
        <v>289</v>
      </c>
      <c r="M10" s="201"/>
      <c r="N10" s="202" t="s">
        <v>290</v>
      </c>
      <c r="O10" s="206"/>
    </row>
    <row r="11" spans="1:15">
      <c r="A11" s="206"/>
      <c r="B11" s="203"/>
      <c r="C11" s="203"/>
      <c r="D11" s="203"/>
      <c r="E11" s="203"/>
      <c r="F11" s="203"/>
      <c r="G11" s="203"/>
      <c r="H11" s="203"/>
      <c r="I11" s="203"/>
      <c r="J11" s="203"/>
      <c r="K11" s="203"/>
      <c r="L11" s="203"/>
      <c r="M11" s="203"/>
      <c r="N11" s="203"/>
      <c r="O11" s="206"/>
    </row>
    <row r="12" spans="1:15">
      <c r="A12" s="206"/>
      <c r="B12" s="186">
        <v>1970</v>
      </c>
      <c r="C12" s="187">
        <v>0.26057128601721335</v>
      </c>
      <c r="D12" s="187">
        <v>0.27753523762005733</v>
      </c>
      <c r="E12" s="187">
        <v>0.11999501060246973</v>
      </c>
      <c r="F12" s="187">
        <v>8.6690782088062843E-2</v>
      </c>
      <c r="G12" s="187">
        <v>1.7462891355868777E-2</v>
      </c>
      <c r="H12" s="187">
        <v>1.0851939628289882E-2</v>
      </c>
      <c r="I12" s="187">
        <v>0.10415367344393163</v>
      </c>
      <c r="J12" s="187">
        <v>8.7314456779343883E-3</v>
      </c>
      <c r="K12" s="187">
        <v>0.11400773356617197</v>
      </c>
      <c r="L12" s="187">
        <v>1</v>
      </c>
      <c r="M12" s="188"/>
      <c r="N12" s="188"/>
      <c r="O12" s="206"/>
    </row>
    <row r="13" spans="1:15">
      <c r="A13" s="206"/>
      <c r="B13" s="186">
        <v>1971</v>
      </c>
      <c r="C13" s="187">
        <v>0.29613683965557364</v>
      </c>
      <c r="D13" s="187">
        <v>0.2863625785431696</v>
      </c>
      <c r="E13" s="187">
        <v>0.12881079823132416</v>
      </c>
      <c r="F13" s="187">
        <v>9.22736793111473E-2</v>
      </c>
      <c r="G13" s="187">
        <v>1.8850360716779146E-2</v>
      </c>
      <c r="H13" s="187">
        <v>1.0937863625785431E-2</v>
      </c>
      <c r="I13" s="187">
        <v>6.0158249941819869E-2</v>
      </c>
      <c r="J13" s="187">
        <v>8.7270188503607155E-3</v>
      </c>
      <c r="K13" s="187">
        <v>9.7742611124040021E-2</v>
      </c>
      <c r="L13" s="187">
        <v>1</v>
      </c>
      <c r="M13" s="188"/>
      <c r="N13" s="189">
        <v>7.02508960573478E-2</v>
      </c>
      <c r="O13" s="206"/>
    </row>
    <row r="14" spans="1:15">
      <c r="A14" s="206"/>
      <c r="B14" s="186">
        <v>1972</v>
      </c>
      <c r="C14" s="187">
        <v>0.30681354549163603</v>
      </c>
      <c r="D14" s="187">
        <v>0.27866177070583431</v>
      </c>
      <c r="E14" s="187">
        <v>0.11699306405548754</v>
      </c>
      <c r="F14" s="187">
        <v>0.10618115055079556</v>
      </c>
      <c r="G14" s="187">
        <v>1.9073847409220721E-2</v>
      </c>
      <c r="H14" s="187">
        <v>9.2819257445940408E-3</v>
      </c>
      <c r="I14" s="187">
        <v>3.9881680946552422E-2</v>
      </c>
      <c r="J14" s="187">
        <v>1.030191758465932E-2</v>
      </c>
      <c r="K14" s="187">
        <v>0.11281109751121991</v>
      </c>
      <c r="L14" s="187">
        <v>1</v>
      </c>
      <c r="M14" s="188"/>
      <c r="N14" s="189">
        <v>0.13931681178834543</v>
      </c>
      <c r="O14" s="206"/>
    </row>
    <row r="15" spans="1:15">
      <c r="A15" s="206"/>
      <c r="B15" s="186">
        <v>1973</v>
      </c>
      <c r="C15" s="187">
        <v>0.29555224142468633</v>
      </c>
      <c r="D15" s="187">
        <v>0.27011141328186677</v>
      </c>
      <c r="E15" s="187">
        <v>0.11264145977717344</v>
      </c>
      <c r="F15" s="187">
        <v>9.3780156154048597E-2</v>
      </c>
      <c r="G15" s="187">
        <v>1.6404947802438809E-2</v>
      </c>
      <c r="H15" s="187">
        <v>7.5445214492499335E-3</v>
      </c>
      <c r="I15" s="187">
        <v>6.0794806561979116E-2</v>
      </c>
      <c r="J15" s="187">
        <v>6.4040705325028504E-3</v>
      </c>
      <c r="K15" s="187">
        <v>0.1367663830160542</v>
      </c>
      <c r="L15" s="187">
        <v>1</v>
      </c>
      <c r="M15" s="188"/>
      <c r="N15" s="189">
        <v>3.292181069958855E-2</v>
      </c>
      <c r="O15" s="206"/>
    </row>
    <row r="16" spans="1:15">
      <c r="A16" s="206"/>
      <c r="B16" s="186">
        <v>1974</v>
      </c>
      <c r="C16" s="187">
        <v>0.29886759581881533</v>
      </c>
      <c r="D16" s="187">
        <v>0.29686411149825787</v>
      </c>
      <c r="E16" s="187">
        <v>0.10879790940766551</v>
      </c>
      <c r="F16" s="187">
        <v>0.10452961672473868</v>
      </c>
      <c r="G16" s="187">
        <v>1.6550522648083623E-2</v>
      </c>
      <c r="H16" s="187">
        <v>3.0487804878048782E-3</v>
      </c>
      <c r="I16" s="187">
        <v>1.6027874564459928E-2</v>
      </c>
      <c r="J16" s="187">
        <v>9.5818815331010446E-3</v>
      </c>
      <c r="K16" s="187">
        <v>0.14573170731707313</v>
      </c>
      <c r="L16" s="187">
        <v>1</v>
      </c>
      <c r="M16" s="188"/>
      <c r="N16" s="189">
        <v>7.1713147410358724E-2</v>
      </c>
      <c r="O16" s="206"/>
    </row>
    <row r="17" spans="1:15">
      <c r="A17" s="206"/>
      <c r="B17" s="186">
        <v>1975</v>
      </c>
      <c r="C17" s="187">
        <v>0.29762002799967058</v>
      </c>
      <c r="D17" s="187">
        <v>0.28971423865601581</v>
      </c>
      <c r="E17" s="187">
        <v>0.10928106728156139</v>
      </c>
      <c r="F17" s="187">
        <v>0.1170221526805567</v>
      </c>
      <c r="G17" s="187">
        <v>1.6388042493617722E-2</v>
      </c>
      <c r="H17" s="187">
        <v>3.3764308655192289E-3</v>
      </c>
      <c r="I17" s="187">
        <v>1.2105739932471382E-2</v>
      </c>
      <c r="J17" s="187">
        <v>1.1776332043152435E-2</v>
      </c>
      <c r="K17" s="187">
        <v>0.14271596804743469</v>
      </c>
      <c r="L17" s="187">
        <v>1</v>
      </c>
      <c r="M17" s="188"/>
      <c r="N17" s="189">
        <v>4.4078597981943579E-2</v>
      </c>
      <c r="O17" s="206"/>
    </row>
    <row r="18" spans="1:15">
      <c r="A18" s="206"/>
      <c r="B18" s="186">
        <v>1976</v>
      </c>
      <c r="C18" s="187">
        <v>0.2916882924297472</v>
      </c>
      <c r="D18" s="187">
        <v>0.27003781419144363</v>
      </c>
      <c r="E18" s="187">
        <v>9.5721806183732494E-2</v>
      </c>
      <c r="F18" s="187">
        <v>0.13183065173871139</v>
      </c>
      <c r="G18" s="187">
        <v>1.542225847112034E-2</v>
      </c>
      <c r="H18" s="187">
        <v>3.4106917772669981E-3</v>
      </c>
      <c r="I18" s="187">
        <v>2.8620152739675248E-2</v>
      </c>
      <c r="J18" s="187">
        <v>1.0825239119151777E-2</v>
      </c>
      <c r="K18" s="187">
        <v>0.15244309334915115</v>
      </c>
      <c r="L18" s="187">
        <v>1</v>
      </c>
      <c r="M18" s="188"/>
      <c r="N18" s="189">
        <v>0.15768056968463884</v>
      </c>
      <c r="O18" s="206"/>
    </row>
    <row r="19" spans="1:15">
      <c r="A19" s="206"/>
      <c r="B19" s="186">
        <v>1977</v>
      </c>
      <c r="C19" s="187">
        <v>0.27752878714748669</v>
      </c>
      <c r="D19" s="187">
        <v>0.27346066331103908</v>
      </c>
      <c r="E19" s="187">
        <v>8.8188650624008824E-2</v>
      </c>
      <c r="F19" s="187">
        <v>0.13548920912914567</v>
      </c>
      <c r="G19" s="187">
        <v>1.5789836585534026E-2</v>
      </c>
      <c r="H19" s="187">
        <v>3.5854650761911327E-3</v>
      </c>
      <c r="I19" s="187">
        <v>6.4676273874370804E-2</v>
      </c>
      <c r="J19" s="187">
        <v>1.0135833965386471E-2</v>
      </c>
      <c r="K19" s="187">
        <v>0.13114528028683722</v>
      </c>
      <c r="L19" s="187">
        <v>1</v>
      </c>
      <c r="M19" s="188"/>
      <c r="N19" s="189">
        <v>3.5588752196836548E-2</v>
      </c>
      <c r="O19" s="206"/>
    </row>
    <row r="20" spans="1:15">
      <c r="A20" s="206"/>
      <c r="B20" s="186">
        <v>1978</v>
      </c>
      <c r="C20" s="187">
        <v>0.28119256687768029</v>
      </c>
      <c r="D20" s="187">
        <v>0.28527670002042077</v>
      </c>
      <c r="E20" s="187">
        <v>9.6998162140085789E-2</v>
      </c>
      <c r="F20" s="187">
        <v>0.15213395956708192</v>
      </c>
      <c r="G20" s="187">
        <v>1.6200394799537134E-2</v>
      </c>
      <c r="H20" s="187">
        <v>5.105166428425568E-3</v>
      </c>
      <c r="I20" s="187">
        <v>1.5723912599550749E-2</v>
      </c>
      <c r="J20" s="187">
        <v>1.061874617112518E-2</v>
      </c>
      <c r="K20" s="187">
        <v>0.1367503913960928</v>
      </c>
      <c r="L20" s="187">
        <v>1</v>
      </c>
      <c r="M20" s="188"/>
      <c r="N20" s="189">
        <v>6.9579974543911849E-2</v>
      </c>
      <c r="O20" s="206"/>
    </row>
    <row r="21" spans="1:15">
      <c r="A21" s="206"/>
      <c r="B21" s="186">
        <v>1979</v>
      </c>
      <c r="C21" s="187">
        <v>0.25794663573085846</v>
      </c>
      <c r="D21" s="187">
        <v>0.25812064965197218</v>
      </c>
      <c r="E21" s="187">
        <v>9.3851508120649657E-2</v>
      </c>
      <c r="F21" s="187">
        <v>0.1451276102088167</v>
      </c>
      <c r="G21" s="187">
        <v>1.4965197215777262E-2</v>
      </c>
      <c r="H21" s="187">
        <v>5.4524361948955916E-3</v>
      </c>
      <c r="I21" s="187">
        <v>7.4245939675174011E-2</v>
      </c>
      <c r="J21" s="187">
        <v>9.2807424593967514E-3</v>
      </c>
      <c r="K21" s="187">
        <v>0.14100928074245933</v>
      </c>
      <c r="L21" s="187">
        <v>1</v>
      </c>
      <c r="M21" s="188"/>
      <c r="N21" s="189">
        <v>0.13209044030146755</v>
      </c>
      <c r="O21" s="206"/>
    </row>
    <row r="22" spans="1:15">
      <c r="A22" s="206"/>
      <c r="B22" s="186">
        <v>1980</v>
      </c>
      <c r="C22" s="187">
        <v>0.26017648733276394</v>
      </c>
      <c r="D22" s="187">
        <v>0.27281525761457437</v>
      </c>
      <c r="E22" s="187">
        <v>0.10498149729575859</v>
      </c>
      <c r="F22" s="187">
        <v>0.16009109023626525</v>
      </c>
      <c r="G22" s="187">
        <v>1.7648733276401932E-2</v>
      </c>
      <c r="H22" s="187">
        <v>5.4654141759180172E-3</v>
      </c>
      <c r="I22" s="187">
        <v>9.1090236265300283E-3</v>
      </c>
      <c r="J22" s="187">
        <v>7.9134642755479632E-3</v>
      </c>
      <c r="K22" s="187">
        <v>0.16179903216623978</v>
      </c>
      <c r="L22" s="187">
        <v>1</v>
      </c>
      <c r="M22" s="188"/>
      <c r="N22" s="189">
        <v>7.0427470217238941E-2</v>
      </c>
      <c r="O22" s="206"/>
    </row>
    <row r="23" spans="1:15">
      <c r="A23" s="206"/>
      <c r="B23" s="186">
        <v>1981</v>
      </c>
      <c r="C23" s="187">
        <v>0.25468204990609072</v>
      </c>
      <c r="D23" s="187">
        <v>0.26723906627314198</v>
      </c>
      <c r="E23" s="187">
        <v>0.10110008049369468</v>
      </c>
      <c r="F23" s="187">
        <v>0.15422591896968071</v>
      </c>
      <c r="G23" s="187">
        <v>1.7601287899114571E-2</v>
      </c>
      <c r="H23" s="187">
        <v>5.7955460155621153E-3</v>
      </c>
      <c r="I23" s="187">
        <v>2.4953045344781329E-2</v>
      </c>
      <c r="J23" s="187">
        <v>8.4786691709149466E-3</v>
      </c>
      <c r="K23" s="187">
        <v>0.16592433592701897</v>
      </c>
      <c r="L23" s="187">
        <v>1</v>
      </c>
      <c r="M23" s="188"/>
      <c r="N23" s="189">
        <v>4.7135842880523748E-2</v>
      </c>
      <c r="O23" s="206"/>
    </row>
    <row r="24" spans="1:15">
      <c r="A24" s="206"/>
      <c r="B24" s="186">
        <v>1982</v>
      </c>
      <c r="C24" s="187">
        <v>0.24575227776409753</v>
      </c>
      <c r="D24" s="187">
        <v>0.26200443240581139</v>
      </c>
      <c r="E24" s="187">
        <v>0.10736271854223098</v>
      </c>
      <c r="F24" s="187">
        <v>0.15331199212016744</v>
      </c>
      <c r="G24" s="187">
        <v>1.7089386850529426E-2</v>
      </c>
      <c r="H24" s="187">
        <v>6.0576212755478953E-3</v>
      </c>
      <c r="I24" s="187">
        <v>2.5313962078305836E-2</v>
      </c>
      <c r="J24" s="187">
        <v>7.9290815070179772E-3</v>
      </c>
      <c r="K24" s="187">
        <v>0.17517852745629159</v>
      </c>
      <c r="L24" s="187">
        <v>1</v>
      </c>
      <c r="M24" s="188"/>
      <c r="N24" s="189">
        <v>0.13222882150672088</v>
      </c>
      <c r="O24" s="206"/>
    </row>
    <row r="25" spans="1:15">
      <c r="A25" s="206"/>
      <c r="B25" s="186">
        <v>1983</v>
      </c>
      <c r="C25" s="187">
        <v>0.24066560291771141</v>
      </c>
      <c r="D25" s="187">
        <v>0.25890129929336675</v>
      </c>
      <c r="E25" s="187">
        <v>9.9749259174834751E-2</v>
      </c>
      <c r="F25" s="187">
        <v>0.15372692044677455</v>
      </c>
      <c r="G25" s="187">
        <v>1.6776840665602918E-2</v>
      </c>
      <c r="H25" s="187">
        <v>5.7898335992705718E-3</v>
      </c>
      <c r="I25" s="187">
        <v>6.0542511967175749E-2</v>
      </c>
      <c r="J25" s="187">
        <v>7.5222247549578299E-3</v>
      </c>
      <c r="K25" s="187">
        <v>0.1563255071803055</v>
      </c>
      <c r="L25" s="187">
        <v>1</v>
      </c>
      <c r="M25" s="188"/>
      <c r="N25" s="189">
        <v>3.5339591385974645E-2</v>
      </c>
      <c r="O25" s="206"/>
    </row>
    <row r="26" spans="1:15">
      <c r="A26" s="206"/>
      <c r="B26" s="186">
        <v>1984</v>
      </c>
      <c r="C26" s="187">
        <v>0.23428725459364746</v>
      </c>
      <c r="D26" s="187">
        <v>0.25805292241340572</v>
      </c>
      <c r="E26" s="187">
        <v>0.10274495709600608</v>
      </c>
      <c r="F26" s="187">
        <v>0.14672716653937731</v>
      </c>
      <c r="G26" s="187">
        <v>1.6667415427467538E-2</v>
      </c>
      <c r="H26" s="187">
        <v>5.5707803585066705E-3</v>
      </c>
      <c r="I26" s="187">
        <v>4.4386540275843468E-2</v>
      </c>
      <c r="J26" s="187">
        <v>7.6373601689204351E-3</v>
      </c>
      <c r="K26" s="187">
        <v>0.1839256031268251</v>
      </c>
      <c r="L26" s="187">
        <v>1</v>
      </c>
      <c r="M26" s="188"/>
      <c r="N26" s="189">
        <v>2.8799999999999937E-2</v>
      </c>
      <c r="O26" s="206"/>
    </row>
    <row r="27" spans="1:15">
      <c r="A27" s="206"/>
      <c r="B27" s="186">
        <v>1985</v>
      </c>
      <c r="C27" s="187">
        <v>0.23192009614986112</v>
      </c>
      <c r="D27" s="187">
        <v>0.25272493679804375</v>
      </c>
      <c r="E27" s="187">
        <v>0.10460441792034479</v>
      </c>
      <c r="F27" s="187">
        <v>0.14505366985784737</v>
      </c>
      <c r="G27" s="187">
        <v>1.5624352438973846E-2</v>
      </c>
      <c r="H27" s="187">
        <v>5.2633760205561759E-3</v>
      </c>
      <c r="I27" s="187">
        <v>4.3474657051680542E-2</v>
      </c>
      <c r="J27" s="187">
        <v>7.0454639645240154E-3</v>
      </c>
      <c r="K27" s="187">
        <v>0.1942890297981682</v>
      </c>
      <c r="L27" s="187">
        <v>1</v>
      </c>
      <c r="M27" s="188"/>
      <c r="N27" s="189">
        <v>9.9015033696215671E-2</v>
      </c>
      <c r="O27" s="206"/>
    </row>
    <row r="28" spans="1:15">
      <c r="A28" s="206"/>
      <c r="B28" s="186">
        <v>1986</v>
      </c>
      <c r="C28" s="187">
        <v>0.23654363331644387</v>
      </c>
      <c r="D28" s="187">
        <v>0.25244572631250733</v>
      </c>
      <c r="E28" s="187">
        <v>0.10429902170947501</v>
      </c>
      <c r="F28" s="187">
        <v>0.14132595393070119</v>
      </c>
      <c r="G28" s="187">
        <v>1.5317457224149355E-2</v>
      </c>
      <c r="H28" s="187">
        <v>5.0278676384612388E-3</v>
      </c>
      <c r="I28" s="187">
        <v>3.5779709241142772E-2</v>
      </c>
      <c r="J28" s="187">
        <v>6.3530420547998605E-3</v>
      </c>
      <c r="K28" s="187">
        <v>0.20290758857231941</v>
      </c>
      <c r="L28" s="187">
        <v>1</v>
      </c>
      <c r="M28" s="188"/>
      <c r="N28" s="189">
        <v>5.1650943396226445E-2</v>
      </c>
      <c r="O28" s="206"/>
    </row>
    <row r="29" spans="1:15">
      <c r="A29" s="206"/>
      <c r="B29" s="186">
        <v>1987</v>
      </c>
      <c r="C29" s="187">
        <v>0.24113088090819784</v>
      </c>
      <c r="D29" s="187">
        <v>0.24684350325655863</v>
      </c>
      <c r="E29" s="187">
        <v>0.11115962595058765</v>
      </c>
      <c r="F29" s="187">
        <v>0.13830367863770332</v>
      </c>
      <c r="G29" s="187">
        <v>1.4991085398246191E-2</v>
      </c>
      <c r="H29" s="187">
        <v>4.8393552377833582E-3</v>
      </c>
      <c r="I29" s="187">
        <v>3.3111377942728233E-2</v>
      </c>
      <c r="J29" s="187">
        <v>6.876978495797402E-3</v>
      </c>
      <c r="K29" s="187">
        <v>0.20274351417239744</v>
      </c>
      <c r="L29" s="187">
        <v>1</v>
      </c>
      <c r="M29" s="188"/>
      <c r="N29" s="189">
        <v>6.4812738282126192E-2</v>
      </c>
      <c r="O29" s="206"/>
    </row>
    <row r="30" spans="1:15">
      <c r="A30" s="206"/>
      <c r="B30" s="186">
        <v>1988</v>
      </c>
      <c r="C30" s="187">
        <v>0.25392457071979535</v>
      </c>
      <c r="D30" s="187">
        <v>0.23469901934183496</v>
      </c>
      <c r="E30" s="187">
        <v>9.5623861389976347E-2</v>
      </c>
      <c r="F30" s="187">
        <v>0.14101321756657234</v>
      </c>
      <c r="G30" s="187">
        <v>1.6395984340478311E-2</v>
      </c>
      <c r="H30" s="187">
        <v>5.0001938059614712E-3</v>
      </c>
      <c r="I30" s="187">
        <v>4.5273072599713166E-2</v>
      </c>
      <c r="J30" s="187">
        <v>7.7522384588549938E-3</v>
      </c>
      <c r="K30" s="187">
        <v>0.20031784177681311</v>
      </c>
      <c r="L30" s="187">
        <v>1</v>
      </c>
      <c r="M30" s="188"/>
      <c r="N30" s="189">
        <v>-8.2139848357203338E-3</v>
      </c>
      <c r="O30" s="206"/>
    </row>
    <row r="31" spans="1:15">
      <c r="A31" s="206"/>
      <c r="B31" s="186">
        <v>1989</v>
      </c>
      <c r="C31" s="187">
        <v>0.23377909856364534</v>
      </c>
      <c r="D31" s="187">
        <v>0.23267421038594888</v>
      </c>
      <c r="E31" s="187">
        <v>9.7115860860288783E-2</v>
      </c>
      <c r="F31" s="187">
        <v>0.13590124585666932</v>
      </c>
      <c r="G31" s="187">
        <v>1.6382824703775667E-2</v>
      </c>
      <c r="H31" s="187">
        <v>4.8767478187983389E-3</v>
      </c>
      <c r="I31" s="187">
        <v>2.7050710557397033E-2</v>
      </c>
      <c r="J31" s="187">
        <v>7.9628147978816621E-3</v>
      </c>
      <c r="K31" s="187">
        <v>0.24425648645559486</v>
      </c>
      <c r="L31" s="187">
        <v>1</v>
      </c>
      <c r="M31" s="188"/>
      <c r="N31" s="189">
        <v>-5.2452750053089803E-2</v>
      </c>
      <c r="O31" s="206"/>
    </row>
    <row r="32" spans="1:15">
      <c r="A32" s="206"/>
      <c r="B32" s="186">
        <v>1990</v>
      </c>
      <c r="C32" s="187">
        <v>0.2320745784931357</v>
      </c>
      <c r="D32" s="187">
        <v>0.23072721313863298</v>
      </c>
      <c r="E32" s="187">
        <v>0.10068824878919194</v>
      </c>
      <c r="F32" s="187">
        <v>0.12916499763300682</v>
      </c>
      <c r="G32" s="187">
        <v>1.6059138414478716E-2</v>
      </c>
      <c r="H32" s="187">
        <v>4.515494701576782E-3</v>
      </c>
      <c r="I32" s="187">
        <v>2.6291832052729325E-2</v>
      </c>
      <c r="J32" s="187">
        <v>8.0841921270164967E-3</v>
      </c>
      <c r="K32" s="187">
        <v>0.25239430465023122</v>
      </c>
      <c r="L32" s="187">
        <v>1</v>
      </c>
      <c r="M32" s="188"/>
      <c r="N32" s="189">
        <v>4.0788883908561058E-2</v>
      </c>
      <c r="O32" s="206"/>
    </row>
    <row r="33" spans="1:15">
      <c r="A33" s="206"/>
      <c r="B33" s="186">
        <v>1991</v>
      </c>
      <c r="C33" s="187">
        <v>0.23247945867568878</v>
      </c>
      <c r="D33" s="187">
        <v>0.24273285921425125</v>
      </c>
      <c r="E33" s="187">
        <v>0.11085410481253886</v>
      </c>
      <c r="F33" s="187">
        <v>0.12069322654146243</v>
      </c>
      <c r="G33" s="187">
        <v>1.5569978595594839E-2</v>
      </c>
      <c r="H33" s="187">
        <v>4.3154042670717398E-3</v>
      </c>
      <c r="I33" s="187">
        <v>2.0368708140578614E-2</v>
      </c>
      <c r="J33" s="187">
        <v>7.6296347441828366E-3</v>
      </c>
      <c r="K33" s="187">
        <v>0.24535662500863079</v>
      </c>
      <c r="L33" s="187">
        <v>1</v>
      </c>
      <c r="M33" s="188"/>
      <c r="N33" s="189">
        <v>5.1894918173988058E-2</v>
      </c>
      <c r="O33" s="206"/>
    </row>
    <row r="34" spans="1:15">
      <c r="A34" s="206"/>
      <c r="B34" s="186">
        <v>1992</v>
      </c>
      <c r="C34" s="187">
        <v>0.23784699163235484</v>
      </c>
      <c r="D34" s="187">
        <v>0.25039845929074245</v>
      </c>
      <c r="E34" s="187">
        <v>0.12159649355824145</v>
      </c>
      <c r="F34" s="187">
        <v>0.12212777261256474</v>
      </c>
      <c r="G34" s="187">
        <v>1.5108248107318367E-2</v>
      </c>
      <c r="H34" s="187">
        <v>4.3498472572718813E-3</v>
      </c>
      <c r="I34" s="187">
        <v>8.8989241599149952E-3</v>
      </c>
      <c r="J34" s="187">
        <v>7.1722672333643239E-3</v>
      </c>
      <c r="K34" s="187">
        <v>0.23250099614822692</v>
      </c>
      <c r="L34" s="187">
        <v>1</v>
      </c>
      <c r="M34" s="188"/>
      <c r="N34" s="189">
        <v>6.0388945752303025E-2</v>
      </c>
      <c r="O34" s="206"/>
    </row>
    <row r="35" spans="1:15">
      <c r="A35" s="206"/>
      <c r="B35" s="186">
        <v>1993</v>
      </c>
      <c r="C35" s="187">
        <v>0.2343784189303241</v>
      </c>
      <c r="D35" s="187">
        <v>0.2624488137288612</v>
      </c>
      <c r="E35" s="187">
        <v>0.1281297865024538</v>
      </c>
      <c r="F35" s="187">
        <v>0.12278453314994842</v>
      </c>
      <c r="G35" s="187">
        <v>1.3972679816198305E-2</v>
      </c>
      <c r="H35" s="187">
        <v>4.1574192741708604E-3</v>
      </c>
      <c r="I35" s="187">
        <v>4.8763714794786027E-3</v>
      </c>
      <c r="J35" s="187">
        <v>6.4080522646994464E-3</v>
      </c>
      <c r="K35" s="187">
        <v>0.22284392485386514</v>
      </c>
      <c r="L35" s="187">
        <v>1</v>
      </c>
      <c r="M35" s="188"/>
      <c r="N35" s="189">
        <v>4.4787644787644965E-2</v>
      </c>
      <c r="O35" s="206"/>
    </row>
    <row r="36" spans="1:15">
      <c r="A36" s="206"/>
      <c r="B36" s="186">
        <v>1994</v>
      </c>
      <c r="C36" s="187">
        <v>0.23191176470588237</v>
      </c>
      <c r="D36" s="187">
        <v>0.26855882352941179</v>
      </c>
      <c r="E36" s="187">
        <v>0.12638235294117647</v>
      </c>
      <c r="F36" s="187">
        <v>0.12241176470588237</v>
      </c>
      <c r="G36" s="187">
        <v>1.3088235294117649E-2</v>
      </c>
      <c r="H36" s="187">
        <v>4.0294117647058829E-3</v>
      </c>
      <c r="I36" s="187">
        <v>1.3647058823529413E-2</v>
      </c>
      <c r="J36" s="187">
        <v>5.8235294117647066E-3</v>
      </c>
      <c r="K36" s="187">
        <v>0.21414705882352941</v>
      </c>
      <c r="L36" s="187">
        <v>1</v>
      </c>
      <c r="M36" s="188"/>
      <c r="N36" s="189">
        <v>9.2941611234294008E-2</v>
      </c>
      <c r="O36" s="206"/>
    </row>
    <row r="37" spans="1:15">
      <c r="A37" s="206"/>
      <c r="B37" s="186">
        <v>1995</v>
      </c>
      <c r="C37" s="187">
        <v>0.23434823451400788</v>
      </c>
      <c r="D37" s="187">
        <v>0.27653754765983313</v>
      </c>
      <c r="E37" s="187">
        <v>0.12687185721390287</v>
      </c>
      <c r="F37" s="187">
        <v>0.12792175498701444</v>
      </c>
      <c r="G37" s="187">
        <v>1.4505166602199261E-2</v>
      </c>
      <c r="H37" s="187">
        <v>4.0338177598496991E-3</v>
      </c>
      <c r="I37" s="187">
        <v>3.5364977620600106E-3</v>
      </c>
      <c r="J37" s="187">
        <v>5.0837155329612645E-3</v>
      </c>
      <c r="K37" s="187">
        <v>0.20716140796817148</v>
      </c>
      <c r="L37" s="187">
        <v>1</v>
      </c>
      <c r="M37" s="188"/>
      <c r="N37" s="189">
        <v>4.6830092983939142E-2</v>
      </c>
      <c r="O37" s="206"/>
    </row>
    <row r="38" spans="1:15">
      <c r="A38" s="206"/>
      <c r="B38" s="186">
        <v>1996</v>
      </c>
      <c r="C38" s="187">
        <v>0.22740924179356131</v>
      </c>
      <c r="D38" s="187">
        <v>0.27448759154855368</v>
      </c>
      <c r="E38" s="187">
        <v>0.12310975288476737</v>
      </c>
      <c r="F38" s="187">
        <v>0.12919542652405289</v>
      </c>
      <c r="G38" s="187">
        <v>1.5859634332683493E-2</v>
      </c>
      <c r="H38" s="187">
        <v>3.9253912218768115E-3</v>
      </c>
      <c r="I38" s="187">
        <v>7.3502292006955051E-3</v>
      </c>
      <c r="J38" s="187">
        <v>4.7947731703461716E-3</v>
      </c>
      <c r="K38" s="187">
        <v>0.21386795932346281</v>
      </c>
      <c r="L38" s="187">
        <v>1</v>
      </c>
      <c r="M38" s="188"/>
      <c r="N38" s="189">
        <v>3.3430232558139483E-2</v>
      </c>
      <c r="O38" s="206"/>
    </row>
    <row r="39" spans="1:15">
      <c r="A39" s="206"/>
      <c r="B39" s="186">
        <v>1997</v>
      </c>
      <c r="C39" s="187">
        <v>0.22033659270402409</v>
      </c>
      <c r="D39" s="187">
        <v>0.27775949605114708</v>
      </c>
      <c r="E39" s="187">
        <v>0.11082643851071833</v>
      </c>
      <c r="F39" s="187">
        <v>0.11942929672809328</v>
      </c>
      <c r="G39" s="187">
        <v>1.4761188416698007E-2</v>
      </c>
      <c r="H39" s="187">
        <v>5.5236931177134263E-3</v>
      </c>
      <c r="I39" s="187">
        <v>2.3481572019556227E-2</v>
      </c>
      <c r="J39" s="187">
        <v>4.0428732606242954E-3</v>
      </c>
      <c r="K39" s="187">
        <v>0.2238388491914253</v>
      </c>
      <c r="L39" s="187">
        <v>1</v>
      </c>
      <c r="M39" s="188"/>
      <c r="N39" s="189">
        <v>0.10423503672448819</v>
      </c>
      <c r="O39" s="206"/>
    </row>
    <row r="40" spans="1:15">
      <c r="A40" s="206"/>
      <c r="B40" s="186">
        <v>1998</v>
      </c>
      <c r="C40" s="187">
        <v>0.23385632478234555</v>
      </c>
      <c r="D40" s="187">
        <v>0.31239815633874946</v>
      </c>
      <c r="E40" s="187">
        <v>0.11350621537315518</v>
      </c>
      <c r="F40" s="187">
        <v>0.11103868895199963</v>
      </c>
      <c r="G40" s="187">
        <v>1.4991386936077098E-2</v>
      </c>
      <c r="H40" s="187">
        <v>3.8875180408771354E-3</v>
      </c>
      <c r="I40" s="187">
        <v>2.3278551142976861E-8</v>
      </c>
      <c r="J40" s="187">
        <v>0</v>
      </c>
      <c r="K40" s="187">
        <v>0.21032168629824485</v>
      </c>
      <c r="L40" s="187">
        <v>1</v>
      </c>
      <c r="M40" s="188"/>
      <c r="N40" s="189">
        <v>2.8021511463345528E-2</v>
      </c>
      <c r="O40" s="206"/>
    </row>
    <row r="41" spans="1:15">
      <c r="A41" s="206"/>
      <c r="B41" s="186">
        <v>1999</v>
      </c>
      <c r="C41" s="187">
        <v>0.23285283271873955</v>
      </c>
      <c r="D41" s="187">
        <v>0.32383506537043244</v>
      </c>
      <c r="E41" s="187">
        <v>0.1171751033635043</v>
      </c>
      <c r="F41" s="187">
        <v>0.10912951167728238</v>
      </c>
      <c r="G41" s="187">
        <v>1.4549111632584644E-2</v>
      </c>
      <c r="H41" s="187">
        <v>2.1007933847357247E-3</v>
      </c>
      <c r="I41" s="187">
        <v>2.2348865795060902E-8</v>
      </c>
      <c r="J41" s="187">
        <v>0</v>
      </c>
      <c r="K41" s="187">
        <v>0.20035755950385514</v>
      </c>
      <c r="L41" s="187">
        <v>1</v>
      </c>
      <c r="M41" s="188"/>
      <c r="N41" s="189">
        <v>3.8683920704845942E-2</v>
      </c>
      <c r="O41" s="206"/>
    </row>
    <row r="42" spans="1:15">
      <c r="A42" s="206"/>
      <c r="B42" s="186">
        <v>2000</v>
      </c>
      <c r="C42" s="187">
        <v>0.22508303975842978</v>
      </c>
      <c r="D42" s="187">
        <v>0.31589330649219932</v>
      </c>
      <c r="E42" s="187">
        <v>0.10194262707599396</v>
      </c>
      <c r="F42" s="187">
        <v>0.10925012581781582</v>
      </c>
      <c r="G42" s="187">
        <v>1.1051836940110719E-2</v>
      </c>
      <c r="H42" s="187">
        <v>1.9325616507297433E-3</v>
      </c>
      <c r="I42" s="187">
        <v>2.0130850528434827E-8</v>
      </c>
      <c r="J42" s="187">
        <v>4.0261701056869654E-5</v>
      </c>
      <c r="K42" s="187">
        <v>0.23480622043281327</v>
      </c>
      <c r="L42" s="187">
        <v>1</v>
      </c>
      <c r="M42" s="188"/>
      <c r="N42" s="189">
        <v>2.9821073558648159E-2</v>
      </c>
      <c r="O42" s="206"/>
    </row>
    <row r="43" spans="1:15">
      <c r="A43" s="206"/>
      <c r="B43" s="186">
        <v>2001</v>
      </c>
      <c r="C43" s="187">
        <v>0.23226464529290586</v>
      </c>
      <c r="D43" s="187">
        <v>0.32380647612952262</v>
      </c>
      <c r="E43" s="187">
        <v>9.6121922438448776E-2</v>
      </c>
      <c r="F43" s="187">
        <v>0.11558231164623294</v>
      </c>
      <c r="G43" s="187">
        <v>1.6240324806496131E-2</v>
      </c>
      <c r="H43" s="187">
        <v>2.1400428008560173E-3</v>
      </c>
      <c r="I43" s="187">
        <v>2.0000400008000162E-8</v>
      </c>
      <c r="J43" s="187">
        <v>6.4001280025600515E-4</v>
      </c>
      <c r="K43" s="187">
        <v>0.21320424408488167</v>
      </c>
      <c r="L43" s="187">
        <v>1</v>
      </c>
      <c r="M43" s="188"/>
      <c r="N43" s="189">
        <v>5.0579150579150411E-2</v>
      </c>
      <c r="O43" s="206"/>
    </row>
    <row r="44" spans="1:15">
      <c r="A44" s="206"/>
      <c r="B44" s="186">
        <v>2002</v>
      </c>
      <c r="C44" s="187">
        <v>0.24149223432981598</v>
      </c>
      <c r="D44" s="187">
        <v>0.33199915736254476</v>
      </c>
      <c r="E44" s="187">
        <v>8.3995633605913791E-2</v>
      </c>
      <c r="F44" s="187">
        <v>0.11132389834728153</v>
      </c>
      <c r="G44" s="187">
        <v>1.5167474194227934E-2</v>
      </c>
      <c r="H44" s="187">
        <v>1.7235766129804471E-3</v>
      </c>
      <c r="I44" s="187">
        <v>1.9150851255338303E-8</v>
      </c>
      <c r="J44" s="187">
        <v>1.972537679299845E-3</v>
      </c>
      <c r="K44" s="187">
        <v>0.21232546871708441</v>
      </c>
      <c r="L44" s="187">
        <v>1</v>
      </c>
      <c r="M44" s="188"/>
      <c r="N44" s="189">
        <v>2.1536199926497579E-2</v>
      </c>
      <c r="O44" s="206"/>
    </row>
    <row r="45" spans="1:15">
      <c r="A45" s="206"/>
      <c r="B45" s="186">
        <v>2003</v>
      </c>
      <c r="C45" s="187">
        <v>0.25103882005016287</v>
      </c>
      <c r="D45" s="187">
        <v>0.36459776138958566</v>
      </c>
      <c r="E45" s="187">
        <v>6.0214127952682231E-2</v>
      </c>
      <c r="F45" s="187">
        <v>0.11041440497136226</v>
      </c>
      <c r="G45" s="187">
        <v>1.7762886983865536E-2</v>
      </c>
      <c r="H45" s="187">
        <v>1.6017856474375774E-3</v>
      </c>
      <c r="I45" s="187">
        <v>1.8717478381312473E-8</v>
      </c>
      <c r="J45" s="187">
        <v>5.0537191629543678E-4</v>
      </c>
      <c r="K45" s="187">
        <v>0.19386482237113012</v>
      </c>
      <c r="L45" s="187">
        <v>1</v>
      </c>
      <c r="M45" s="188"/>
      <c r="N45" s="189">
        <v>3.3506020050846796E-2</v>
      </c>
      <c r="O45" s="206"/>
    </row>
    <row r="46" spans="1:15">
      <c r="A46" s="206"/>
      <c r="B46" s="186">
        <v>2004</v>
      </c>
      <c r="C46" s="187">
        <v>0.25806856937713152</v>
      </c>
      <c r="D46" s="187">
        <v>0.37070543887991375</v>
      </c>
      <c r="E46" s="187">
        <v>6.0491832705079865E-2</v>
      </c>
      <c r="F46" s="187">
        <v>0.1141267276970023</v>
      </c>
      <c r="G46" s="187">
        <v>1.9170705438879911E-2</v>
      </c>
      <c r="H46" s="187">
        <v>8.9750493627714938E-4</v>
      </c>
      <c r="I46" s="187">
        <v>1.7950098725542989E-8</v>
      </c>
      <c r="J46" s="187">
        <v>1.38215760186681E-3</v>
      </c>
      <c r="K46" s="187">
        <v>0.17515704541374991</v>
      </c>
      <c r="L46" s="187">
        <v>1</v>
      </c>
      <c r="M46" s="188"/>
      <c r="N46" s="189">
        <v>4.7620152700099672E-2</v>
      </c>
      <c r="O46" s="206"/>
    </row>
    <row r="47" spans="1:15">
      <c r="A47" s="206"/>
      <c r="B47" s="186">
        <v>2005</v>
      </c>
      <c r="C47" s="187">
        <v>0.26191560147084575</v>
      </c>
      <c r="D47" s="187">
        <v>0.38177201891087376</v>
      </c>
      <c r="E47" s="187">
        <v>5.9744353002976716E-2</v>
      </c>
      <c r="F47" s="187">
        <v>0.11222202766590791</v>
      </c>
      <c r="G47" s="187">
        <v>1.9296095254771498E-2</v>
      </c>
      <c r="H47" s="187">
        <v>8.5799334617405029E-4</v>
      </c>
      <c r="I47" s="187">
        <v>1.7510068289266332E-8</v>
      </c>
      <c r="J47" s="187">
        <v>1.3132551216949748E-3</v>
      </c>
      <c r="K47" s="187">
        <v>0.1628786377166872</v>
      </c>
      <c r="L47" s="187">
        <v>1</v>
      </c>
      <c r="M47" s="188"/>
      <c r="N47" s="189">
        <v>2.259486520612275E-2</v>
      </c>
      <c r="O47" s="206"/>
    </row>
    <row r="48" spans="1:15">
      <c r="A48" s="206"/>
      <c r="B48" s="186">
        <v>2006</v>
      </c>
      <c r="C48" s="187">
        <v>0.26175080613515772</v>
      </c>
      <c r="D48" s="187">
        <v>0.36398751130295326</v>
      </c>
      <c r="E48" s="187">
        <v>8.3718628973094705E-2</v>
      </c>
      <c r="F48" s="187">
        <v>0.11174995308208076</v>
      </c>
      <c r="G48" s="187">
        <v>1.9876136693225053E-2</v>
      </c>
      <c r="H48" s="187">
        <v>1.7061061539248974E-9</v>
      </c>
      <c r="I48" s="187">
        <v>1.7061061539248973E-8</v>
      </c>
      <c r="J48" s="187">
        <v>6.3125927695221193E-4</v>
      </c>
      <c r="K48" s="187">
        <v>0.15828568576936861</v>
      </c>
      <c r="L48" s="187">
        <v>1</v>
      </c>
      <c r="M48" s="188"/>
      <c r="N48" s="189">
        <v>2.7576197387518153E-2</v>
      </c>
      <c r="O48" s="206"/>
    </row>
    <row r="49" spans="1:15">
      <c r="A49" s="206"/>
      <c r="B49" s="186">
        <v>2007</v>
      </c>
      <c r="C49" s="187">
        <v>0.26228900914830561</v>
      </c>
      <c r="D49" s="187">
        <v>0.37733539492333457</v>
      </c>
      <c r="E49" s="187">
        <v>8.1513335910320811E-2</v>
      </c>
      <c r="F49" s="187">
        <v>0.11222780569514235</v>
      </c>
      <c r="G49" s="187">
        <v>1.9327406262079627E-2</v>
      </c>
      <c r="H49" s="187">
        <v>1.6106171885066357E-9</v>
      </c>
      <c r="I49" s="187">
        <v>1.6106171885066355E-8</v>
      </c>
      <c r="J49" s="187">
        <v>5.9592835974745515E-4</v>
      </c>
      <c r="K49" s="187">
        <v>0.14671110198428045</v>
      </c>
      <c r="L49" s="187">
        <v>1</v>
      </c>
      <c r="M49" s="188"/>
      <c r="N49" s="189">
        <v>5.5506366472721114E-2</v>
      </c>
      <c r="O49" s="206"/>
    </row>
    <row r="50" spans="1:15">
      <c r="A50" s="206"/>
      <c r="B50" s="186">
        <v>2008</v>
      </c>
      <c r="C50" s="187">
        <v>0.25792308655893775</v>
      </c>
      <c r="D50" s="187">
        <v>0.38693160465990228</v>
      </c>
      <c r="E50" s="187">
        <v>7.9215207315545544E-2</v>
      </c>
      <c r="F50" s="187">
        <v>0.1090113365902543</v>
      </c>
      <c r="G50" s="187">
        <v>1.958395966428661E-2</v>
      </c>
      <c r="H50" s="187">
        <v>1.1156520105223601E-3</v>
      </c>
      <c r="I50" s="187">
        <v>1.5658273831892774E-8</v>
      </c>
      <c r="J50" s="187">
        <v>1.5031942878617061E-3</v>
      </c>
      <c r="K50" s="187">
        <v>0.14471594325441561</v>
      </c>
      <c r="L50" s="187">
        <v>1</v>
      </c>
      <c r="M50" s="188"/>
      <c r="N50" s="189">
        <v>3.0827458107811179E-2</v>
      </c>
      <c r="O50" s="206"/>
    </row>
    <row r="51" spans="1:15">
      <c r="A51" s="206"/>
      <c r="B51" s="186">
        <v>2009</v>
      </c>
      <c r="C51" s="187">
        <v>0.26680190118009389</v>
      </c>
      <c r="D51" s="187">
        <v>0.36757862653064249</v>
      </c>
      <c r="E51" s="187">
        <v>8.3220743000133268E-2</v>
      </c>
      <c r="F51" s="187">
        <v>0.10841464678620609</v>
      </c>
      <c r="G51" s="187">
        <v>1.9026607637295113E-2</v>
      </c>
      <c r="H51" s="187">
        <v>7.1072153042036213E-4</v>
      </c>
      <c r="I51" s="187">
        <v>3.4189108192546305E-3</v>
      </c>
      <c r="J51" s="187">
        <v>4.2939425796230217E-4</v>
      </c>
      <c r="K51" s="187">
        <v>0.15039844825799192</v>
      </c>
      <c r="L51" s="187">
        <v>1</v>
      </c>
      <c r="M51" s="188"/>
      <c r="N51" s="189">
        <v>8.6936304189876523E-2</v>
      </c>
      <c r="O51" s="206"/>
    </row>
    <row r="52" spans="1:15">
      <c r="A52" s="206"/>
      <c r="B52" s="186">
        <v>2010</v>
      </c>
      <c r="C52" s="187">
        <v>0.27077075017488988</v>
      </c>
      <c r="D52" s="187">
        <v>0.36366543214956853</v>
      </c>
      <c r="E52" s="187">
        <v>8.8186082877247843E-2</v>
      </c>
      <c r="F52" s="187">
        <v>0.10293129226506452</v>
      </c>
      <c r="G52" s="187">
        <v>1.8065100201637787E-2</v>
      </c>
      <c r="H52" s="187">
        <v>6.3097540567603517E-4</v>
      </c>
      <c r="I52" s="187">
        <v>1.0283102204298861E-2</v>
      </c>
      <c r="J52" s="187">
        <v>3.703551294185424E-4</v>
      </c>
      <c r="K52" s="187">
        <v>0.14509690959219798</v>
      </c>
      <c r="L52" s="187">
        <v>1</v>
      </c>
      <c r="M52" s="188"/>
      <c r="N52" s="189">
        <v>6.0972022923555524E-2</v>
      </c>
      <c r="O52" s="206"/>
    </row>
    <row r="53" spans="1:15">
      <c r="A53" s="206"/>
      <c r="B53" s="186">
        <v>2011</v>
      </c>
      <c r="C53" s="187">
        <v>0.26987374554872123</v>
      </c>
      <c r="D53" s="187">
        <v>0.37286482874716731</v>
      </c>
      <c r="E53" s="187">
        <v>8.4573679507931349E-2</v>
      </c>
      <c r="F53" s="187">
        <v>9.9527355131110384E-2</v>
      </c>
      <c r="G53" s="187">
        <v>1.7623826481061828E-2</v>
      </c>
      <c r="H53" s="187">
        <v>6.0861120103593389E-4</v>
      </c>
      <c r="I53" s="187">
        <v>9.1979436710909676E-3</v>
      </c>
      <c r="J53" s="187">
        <v>3.4962771123340884E-4</v>
      </c>
      <c r="K53" s="187">
        <v>0.14538038200064754</v>
      </c>
      <c r="L53" s="187">
        <v>1</v>
      </c>
      <c r="M53" s="188"/>
      <c r="N53" s="189">
        <v>5.3813844086021412E-2</v>
      </c>
      <c r="O53" s="206"/>
    </row>
    <row r="54" spans="1:15">
      <c r="A54" s="206"/>
      <c r="B54" s="186">
        <v>2012</v>
      </c>
      <c r="C54" s="187">
        <v>0.25955285809670914</v>
      </c>
      <c r="D54" s="187">
        <v>0.37762330282868556</v>
      </c>
      <c r="E54" s="187">
        <v>8.3641195572187133E-2</v>
      </c>
      <c r="F54" s="187">
        <v>9.3347646232984388E-2</v>
      </c>
      <c r="G54" s="187">
        <v>1.6534550612457569E-2</v>
      </c>
      <c r="H54" s="187">
        <v>6.5686450232297342E-4</v>
      </c>
      <c r="I54" s="187">
        <v>9.2972968549020572E-3</v>
      </c>
      <c r="J54" s="187">
        <v>4.0447496026715609E-4</v>
      </c>
      <c r="K54" s="187">
        <v>0.15894181033948421</v>
      </c>
      <c r="L54" s="187">
        <v>1</v>
      </c>
      <c r="M54" s="188"/>
      <c r="N54" s="189">
        <v>7.7172647991964549E-2</v>
      </c>
      <c r="O54" s="206"/>
    </row>
    <row r="55" spans="1:15">
      <c r="A55" s="206"/>
      <c r="B55" s="193">
        <v>2013</v>
      </c>
      <c r="C55" s="194">
        <v>0.24842768139903143</v>
      </c>
      <c r="D55" s="194">
        <v>0.38303553615739533</v>
      </c>
      <c r="E55" s="194">
        <v>8.2074019961070402E-2</v>
      </c>
      <c r="F55" s="194">
        <v>9.0175640209677874E-2</v>
      </c>
      <c r="G55" s="194">
        <v>1.7163609501181426E-2</v>
      </c>
      <c r="H55" s="194">
        <v>1.3906637757017252E-3</v>
      </c>
      <c r="I55" s="194">
        <v>1.8888721528308106E-2</v>
      </c>
      <c r="J55" s="194">
        <v>5.9065718363464153E-4</v>
      </c>
      <c r="K55" s="194">
        <v>0.15825347028399911</v>
      </c>
      <c r="L55" s="194">
        <v>1</v>
      </c>
      <c r="M55" s="195"/>
      <c r="N55" s="196">
        <v>7.9951806194626496E-2</v>
      </c>
      <c r="O55" s="206"/>
    </row>
    <row r="56" spans="1:15">
      <c r="A56" s="206"/>
      <c r="B56" s="193">
        <v>2014</v>
      </c>
      <c r="C56" s="194">
        <v>0.23833131923110332</v>
      </c>
      <c r="D56" s="194">
        <v>0.3891819573144582</v>
      </c>
      <c r="E56" s="194">
        <v>8.1401456572144773E-2</v>
      </c>
      <c r="F56" s="194">
        <v>8.7467220182112823E-2</v>
      </c>
      <c r="G56" s="194">
        <v>1.7817948177121349E-2</v>
      </c>
      <c r="H56" s="194">
        <v>6.2464906452740015E-4</v>
      </c>
      <c r="I56" s="194">
        <v>2.270020179082299E-2</v>
      </c>
      <c r="J56" s="194">
        <v>7.2722031989919881E-4</v>
      </c>
      <c r="K56" s="194">
        <v>0.16174802734781005</v>
      </c>
      <c r="L56" s="194">
        <v>1</v>
      </c>
      <c r="M56" s="195"/>
      <c r="N56" s="196">
        <v>7.9230944865572805E-2</v>
      </c>
      <c r="O56" s="206"/>
    </row>
    <row r="57" spans="1:15">
      <c r="A57" s="206"/>
      <c r="B57" s="193">
        <v>2015</v>
      </c>
      <c r="C57" s="194">
        <v>0.22858808232534381</v>
      </c>
      <c r="D57" s="194">
        <v>0.39505046604989902</v>
      </c>
      <c r="E57" s="194">
        <v>8.1007879466049426E-2</v>
      </c>
      <c r="F57" s="194">
        <v>8.4964531019690301E-2</v>
      </c>
      <c r="G57" s="194">
        <v>1.7666456512199922E-2</v>
      </c>
      <c r="H57" s="194">
        <v>6.1933817654881841E-4</v>
      </c>
      <c r="I57" s="194">
        <v>2.5269858873173616E-2</v>
      </c>
      <c r="J57" s="194">
        <v>7.2103735113472113E-4</v>
      </c>
      <c r="K57" s="194">
        <v>0.1661123502259603</v>
      </c>
      <c r="L57" s="194">
        <v>1</v>
      </c>
      <c r="M57" s="195"/>
      <c r="N57" s="196">
        <v>7.6006196521527958E-2</v>
      </c>
      <c r="O57" s="206"/>
    </row>
    <row r="58" spans="1:15">
      <c r="A58" s="206"/>
      <c r="B58" s="193">
        <v>2016</v>
      </c>
      <c r="C58" s="194">
        <v>0.2195705582185602</v>
      </c>
      <c r="D58" s="194">
        <v>0.40114659342443199</v>
      </c>
      <c r="E58" s="194">
        <v>8.0857162536721788E-2</v>
      </c>
      <c r="F58" s="194">
        <v>8.2801406879142489E-2</v>
      </c>
      <c r="G58" s="194">
        <v>1.7549325284568911E-2</v>
      </c>
      <c r="H58" s="194">
        <v>6.1523187255470291E-4</v>
      </c>
      <c r="I58" s="194">
        <v>2.5066426752845709E-2</v>
      </c>
      <c r="J58" s="194">
        <v>7.1625676652524407E-4</v>
      </c>
      <c r="K58" s="194">
        <v>0.17167703826464908</v>
      </c>
      <c r="L58" s="194">
        <v>1</v>
      </c>
      <c r="M58" s="195"/>
      <c r="N58" s="196">
        <v>7.3712053508026232E-2</v>
      </c>
      <c r="O58" s="206"/>
    </row>
    <row r="59" spans="1:15">
      <c r="A59" s="206"/>
      <c r="B59" s="193">
        <v>2017</v>
      </c>
      <c r="C59" s="194">
        <v>0.21372242281882728</v>
      </c>
      <c r="D59" s="194">
        <v>0.41202758439642434</v>
      </c>
      <c r="E59" s="194">
        <v>8.1630087669706405E-2</v>
      </c>
      <c r="F59" s="194">
        <v>8.1853605891723732E-2</v>
      </c>
      <c r="G59" s="194">
        <v>1.7658015882716017E-2</v>
      </c>
      <c r="H59" s="194">
        <v>6.1904227091149515E-4</v>
      </c>
      <c r="I59" s="194">
        <v>2.4935122313014223E-2</v>
      </c>
      <c r="J59" s="194">
        <v>7.2069285595422025E-4</v>
      </c>
      <c r="K59" s="194">
        <v>0.1668334259007222</v>
      </c>
      <c r="L59" s="194">
        <v>1</v>
      </c>
      <c r="M59" s="195"/>
      <c r="N59" s="196">
        <v>5.8940594697976412E-2</v>
      </c>
      <c r="O59" s="206"/>
    </row>
    <row r="60" spans="1:15">
      <c r="A60" s="206"/>
      <c r="B60" s="193">
        <v>2018</v>
      </c>
      <c r="C60" s="194">
        <v>0.20719922698006843</v>
      </c>
      <c r="D60" s="194">
        <v>0.42087556765671258</v>
      </c>
      <c r="E60" s="194">
        <v>8.199474138338804E-2</v>
      </c>
      <c r="F60" s="194">
        <v>8.0675165132058177E-2</v>
      </c>
      <c r="G60" s="194">
        <v>1.7691822432796076E-2</v>
      </c>
      <c r="H60" s="194">
        <v>6.2022743710866263E-4</v>
      </c>
      <c r="I60" s="194">
        <v>2.8784163382505158E-2</v>
      </c>
      <c r="J60" s="194">
        <v>7.2207263380066574E-4</v>
      </c>
      <c r="K60" s="194">
        <v>0.16143701296156207</v>
      </c>
      <c r="L60" s="194">
        <v>1</v>
      </c>
      <c r="M60" s="195"/>
      <c r="N60" s="196">
        <v>6.2575418417318396E-2</v>
      </c>
      <c r="O60" s="206"/>
    </row>
    <row r="61" spans="1:15">
      <c r="A61" s="206"/>
      <c r="B61" s="193">
        <v>2019</v>
      </c>
      <c r="C61" s="194">
        <v>0.20171554551884158</v>
      </c>
      <c r="D61" s="194">
        <v>0.43124744693023465</v>
      </c>
      <c r="E61" s="194">
        <v>8.2650942788091986E-2</v>
      </c>
      <c r="F61" s="194">
        <v>7.9925019669722083E-2</v>
      </c>
      <c r="G61" s="194">
        <v>1.7799087250380905E-2</v>
      </c>
      <c r="H61" s="194">
        <v>6.2398785145575898E-4</v>
      </c>
      <c r="I61" s="194">
        <v>2.8449554882616742E-2</v>
      </c>
      <c r="J61" s="194">
        <v>7.2645053153516073E-4</v>
      </c>
      <c r="K61" s="194">
        <v>0.15686196457712107</v>
      </c>
      <c r="L61" s="194">
        <v>1</v>
      </c>
      <c r="M61" s="195"/>
      <c r="N61" s="196">
        <v>5.7581847751733806E-2</v>
      </c>
      <c r="O61" s="206"/>
    </row>
    <row r="62" spans="1:15">
      <c r="A62" s="206"/>
      <c r="B62" s="193">
        <v>2020</v>
      </c>
      <c r="C62" s="194">
        <v>0.1963410190168339</v>
      </c>
      <c r="D62" s="194">
        <v>0.44126373354491694</v>
      </c>
      <c r="E62" s="194">
        <v>8.3259850106001787E-2</v>
      </c>
      <c r="F62" s="194">
        <v>7.9244114484677136E-2</v>
      </c>
      <c r="G62" s="194">
        <v>1.7901329379971374E-2</v>
      </c>
      <c r="H62" s="194">
        <v>6.2757218394842947E-4</v>
      </c>
      <c r="I62" s="194">
        <v>2.8263473308252123E-2</v>
      </c>
      <c r="J62" s="194">
        <v>7.3062343368129141E-4</v>
      </c>
      <c r="K62" s="194">
        <v>0.15236828454171694</v>
      </c>
      <c r="L62" s="194">
        <v>1</v>
      </c>
      <c r="M62" s="195"/>
      <c r="N62" s="196">
        <v>5.7234653829917326E-2</v>
      </c>
      <c r="O62" s="206"/>
    </row>
    <row r="63" spans="1:15">
      <c r="A63" s="206"/>
      <c r="B63" s="193">
        <v>2021</v>
      </c>
      <c r="C63" s="194">
        <v>0.19114716032225396</v>
      </c>
      <c r="D63" s="194">
        <v>0.45118351126078571</v>
      </c>
      <c r="E63" s="194">
        <v>8.3870066091886158E-2</v>
      </c>
      <c r="F63" s="194">
        <v>7.8666597492720203E-2</v>
      </c>
      <c r="G63" s="194">
        <v>1.8007796897019587E-2</v>
      </c>
      <c r="H63" s="194">
        <v>6.3130464709545519E-4</v>
      </c>
      <c r="I63" s="194">
        <v>2.7725351048888552E-2</v>
      </c>
      <c r="J63" s="194">
        <v>7.3496879045509159E-4</v>
      </c>
      <c r="K63" s="194">
        <v>0.14803324344889526</v>
      </c>
      <c r="L63" s="194">
        <v>1</v>
      </c>
      <c r="M63" s="195"/>
      <c r="N63" s="196">
        <v>5.6412811509697791E-2</v>
      </c>
      <c r="O63" s="206"/>
    </row>
    <row r="64" spans="1:15">
      <c r="A64" s="206"/>
      <c r="B64" s="193">
        <v>2022</v>
      </c>
      <c r="C64" s="194">
        <v>0.18621725006941153</v>
      </c>
      <c r="D64" s="194">
        <v>0.46094795402249078</v>
      </c>
      <c r="E64" s="194">
        <v>8.442844056913465E-2</v>
      </c>
      <c r="F64" s="194">
        <v>7.8197234457649492E-2</v>
      </c>
      <c r="G64" s="194">
        <v>1.8117954404486842E-2</v>
      </c>
      <c r="H64" s="194">
        <v>6.3516647132493898E-4</v>
      </c>
      <c r="I64" s="194">
        <v>2.6870727322397793E-2</v>
      </c>
      <c r="J64" s="194">
        <v>7.3946475020440208E-4</v>
      </c>
      <c r="K64" s="194">
        <v>0.14384580793289967</v>
      </c>
      <c r="L64" s="194">
        <v>1</v>
      </c>
      <c r="M64" s="195"/>
      <c r="N64" s="196">
        <v>5.5122254993159148E-2</v>
      </c>
      <c r="O64" s="206"/>
    </row>
    <row r="65" spans="1:15">
      <c r="A65" s="206"/>
      <c r="B65" s="193">
        <v>2023</v>
      </c>
      <c r="C65" s="194">
        <v>0.1814475393157379</v>
      </c>
      <c r="D65" s="194">
        <v>0.47048459057414249</v>
      </c>
      <c r="E65" s="194">
        <v>8.494852845631469E-2</v>
      </c>
      <c r="F65" s="194">
        <v>7.7795700680134833E-2</v>
      </c>
      <c r="G65" s="194">
        <v>1.8227260281464683E-2</v>
      </c>
      <c r="H65" s="194">
        <v>6.3899843969317249E-4</v>
      </c>
      <c r="I65" s="194">
        <v>2.5948330664154657E-2</v>
      </c>
      <c r="J65" s="194">
        <v>7.4392595157464481E-4</v>
      </c>
      <c r="K65" s="194">
        <v>0.13976512563678306</v>
      </c>
      <c r="L65" s="194">
        <v>1</v>
      </c>
      <c r="M65" s="195"/>
      <c r="N65" s="196">
        <v>5.4380465158074154E-2</v>
      </c>
      <c r="O65" s="206"/>
    </row>
    <row r="66" spans="1:15">
      <c r="A66" s="206"/>
      <c r="B66" s="193">
        <v>2024</v>
      </c>
      <c r="C66" s="194">
        <v>0.17681187924400793</v>
      </c>
      <c r="D66" s="194">
        <v>0.47972121326077838</v>
      </c>
      <c r="E66" s="194">
        <v>8.5445808019068425E-2</v>
      </c>
      <c r="F66" s="194">
        <v>7.745060101141861E-2</v>
      </c>
      <c r="G66" s="194">
        <v>1.8333605291609507E-2</v>
      </c>
      <c r="H66" s="194">
        <v>6.4272660807955376E-4</v>
      </c>
      <c r="I66" s="194">
        <v>2.5072505270834652E-2</v>
      </c>
      <c r="J66" s="194">
        <v>7.4826630836143256E-4</v>
      </c>
      <c r="K66" s="194">
        <v>0.13577339498584148</v>
      </c>
      <c r="L66" s="194">
        <v>1</v>
      </c>
      <c r="M66" s="195"/>
      <c r="N66" s="196">
        <v>5.3803138070678491E-2</v>
      </c>
      <c r="O66" s="206"/>
    </row>
    <row r="67" spans="1:15">
      <c r="A67" s="206"/>
      <c r="B67" s="193">
        <v>2025</v>
      </c>
      <c r="C67" s="194">
        <v>0.17227764720839511</v>
      </c>
      <c r="D67" s="194">
        <v>0.48870640697775869</v>
      </c>
      <c r="E67" s="194">
        <v>8.5919736213935338E-2</v>
      </c>
      <c r="F67" s="194">
        <v>7.7148295131409625E-2</v>
      </c>
      <c r="G67" s="194">
        <v>1.8437029235042503E-2</v>
      </c>
      <c r="H67" s="194">
        <v>6.4635237176866955E-4</v>
      </c>
      <c r="I67" s="194">
        <v>2.4241706811777456E-2</v>
      </c>
      <c r="J67" s="194">
        <v>7.5248744496374644E-4</v>
      </c>
      <c r="K67" s="194">
        <v>0.13187033860494893</v>
      </c>
      <c r="L67" s="194">
        <v>1</v>
      </c>
      <c r="M67" s="195"/>
      <c r="N67" s="196">
        <v>5.3421684970990091E-2</v>
      </c>
      <c r="O67" s="206"/>
    </row>
    <row r="68" spans="1:15">
      <c r="A68" s="206"/>
      <c r="B68" s="193">
        <v>2026</v>
      </c>
      <c r="C68" s="194">
        <v>0.16693671579549202</v>
      </c>
      <c r="D68" s="194">
        <v>0.49478909196202686</v>
      </c>
      <c r="E68" s="194">
        <v>8.5921885568805423E-2</v>
      </c>
      <c r="F68" s="194">
        <v>7.6482557439677856E-2</v>
      </c>
      <c r="G68" s="194">
        <v>1.8438778074392592E-2</v>
      </c>
      <c r="H68" s="194">
        <v>6.4641368134557391E-4</v>
      </c>
      <c r="I68" s="194">
        <v>2.3315435409657019E-2</v>
      </c>
      <c r="J68" s="194">
        <v>7.5255882195390182E-4</v>
      </c>
      <c r="K68" s="194">
        <v>0.13271656324664882</v>
      </c>
      <c r="L68" s="194">
        <v>1</v>
      </c>
      <c r="M68" s="195"/>
      <c r="N68" s="196">
        <v>5.8643059172211354E-2</v>
      </c>
      <c r="O68" s="206"/>
    </row>
    <row r="69" spans="1:15">
      <c r="A69" s="206"/>
      <c r="B69" s="193">
        <v>2027</v>
      </c>
      <c r="C69" s="194">
        <v>0.16172326689301453</v>
      </c>
      <c r="D69" s="194">
        <v>0.50060979655639049</v>
      </c>
      <c r="E69" s="194">
        <v>8.5906914408414428E-2</v>
      </c>
      <c r="F69" s="194">
        <v>7.5860243685569095E-2</v>
      </c>
      <c r="G69" s="194">
        <v>1.843810621194002E-2</v>
      </c>
      <c r="H69" s="194">
        <v>6.4639012766541291E-4</v>
      </c>
      <c r="I69" s="194">
        <v>2.2438165054793239E-2</v>
      </c>
      <c r="J69" s="194">
        <v>7.5253140061319352E-4</v>
      </c>
      <c r="K69" s="194">
        <v>0.13362458566159935</v>
      </c>
      <c r="L69" s="194">
        <v>1</v>
      </c>
      <c r="M69" s="195"/>
      <c r="N69" s="196">
        <v>5.83302022059633E-2</v>
      </c>
      <c r="O69" s="206"/>
    </row>
    <row r="70" spans="1:15" ht="13.5" thickBot="1">
      <c r="A70" s="206"/>
      <c r="B70" s="207"/>
      <c r="C70" s="207"/>
      <c r="D70" s="207"/>
      <c r="E70" s="207"/>
      <c r="F70" s="207"/>
      <c r="G70" s="207"/>
      <c r="H70" s="207"/>
      <c r="I70" s="207"/>
      <c r="J70" s="207"/>
      <c r="K70" s="207"/>
      <c r="L70" s="207"/>
      <c r="M70" s="207"/>
      <c r="N70" s="207"/>
      <c r="O70" s="206"/>
    </row>
    <row r="71" spans="1:15">
      <c r="A71" s="206"/>
      <c r="B71" s="206"/>
      <c r="C71" s="206"/>
      <c r="D71" s="206"/>
      <c r="E71" s="206"/>
      <c r="F71" s="206"/>
      <c r="G71" s="206"/>
      <c r="H71" s="206"/>
      <c r="I71" s="206"/>
      <c r="J71" s="206"/>
      <c r="K71" s="206"/>
      <c r="L71" s="206"/>
      <c r="M71" s="206"/>
      <c r="N71" s="206"/>
      <c r="O71" s="206"/>
    </row>
  </sheetData>
  <mergeCells count="2">
    <mergeCell ref="B6:N6"/>
    <mergeCell ref="B5:N5"/>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O71"/>
  <sheetViews>
    <sheetView workbookViewId="0">
      <selection activeCell="B6" sqref="B6:N6"/>
    </sheetView>
  </sheetViews>
  <sheetFormatPr baseColWidth="10" defaultRowHeight="12.75"/>
  <cols>
    <col min="1" max="1" width="3.5703125" customWidth="1"/>
    <col min="15" max="15" width="3.85546875" customWidth="1"/>
  </cols>
  <sheetData>
    <row r="1" spans="1:15" ht="15.75">
      <c r="A1" s="206"/>
      <c r="B1" s="205" t="s">
        <v>369</v>
      </c>
      <c r="C1" s="206"/>
      <c r="D1" s="206"/>
      <c r="E1" s="206"/>
      <c r="F1" s="206"/>
      <c r="G1" s="206"/>
      <c r="H1" s="206"/>
      <c r="I1" s="206"/>
      <c r="J1" s="206"/>
      <c r="K1" s="206"/>
      <c r="L1" s="206"/>
      <c r="M1" s="206"/>
      <c r="N1" s="206"/>
      <c r="O1" s="206"/>
    </row>
    <row r="2" spans="1:15" ht="15.75">
      <c r="A2" s="206"/>
      <c r="B2" s="208" t="s">
        <v>292</v>
      </c>
      <c r="C2" s="206"/>
      <c r="D2" s="206"/>
      <c r="E2" s="206"/>
      <c r="F2" s="206"/>
      <c r="G2" s="206"/>
      <c r="H2" s="206"/>
      <c r="I2" s="206"/>
      <c r="J2" s="206"/>
      <c r="K2" s="206"/>
      <c r="L2" s="206"/>
      <c r="M2" s="206"/>
      <c r="N2" s="206"/>
      <c r="O2" s="206"/>
    </row>
    <row r="3" spans="1:15" ht="15.75">
      <c r="A3" s="206"/>
      <c r="B3" s="208" t="s">
        <v>295</v>
      </c>
      <c r="C3" s="206"/>
      <c r="D3" s="206"/>
      <c r="E3" s="206"/>
      <c r="F3" s="206"/>
      <c r="G3" s="206"/>
      <c r="H3" s="206"/>
      <c r="I3" s="206"/>
      <c r="J3" s="206"/>
      <c r="K3" s="206"/>
      <c r="L3" s="206"/>
      <c r="M3" s="206"/>
      <c r="N3" s="206"/>
      <c r="O3" s="206"/>
    </row>
    <row r="4" spans="1:15">
      <c r="A4" s="206"/>
      <c r="B4" s="206"/>
      <c r="C4" s="206"/>
      <c r="D4" s="206"/>
      <c r="E4" s="206"/>
      <c r="F4" s="206"/>
      <c r="G4" s="206"/>
      <c r="H4" s="206"/>
      <c r="I4" s="206"/>
      <c r="J4" s="206"/>
      <c r="K4" s="206"/>
      <c r="L4" s="206"/>
      <c r="M4" s="206"/>
      <c r="N4" s="206"/>
      <c r="O4" s="206"/>
    </row>
    <row r="5" spans="1:15" ht="15">
      <c r="A5" s="206"/>
      <c r="B5" s="1499" t="s">
        <v>665</v>
      </c>
      <c r="C5" s="1499"/>
      <c r="D5" s="1499"/>
      <c r="E5" s="1499"/>
      <c r="F5" s="1499"/>
      <c r="G5" s="1499"/>
      <c r="H5" s="1499"/>
      <c r="I5" s="1499"/>
      <c r="J5" s="1499"/>
      <c r="K5" s="1499"/>
      <c r="L5" s="1499"/>
      <c r="M5" s="1499"/>
      <c r="N5" s="1499"/>
      <c r="O5" s="206"/>
    </row>
    <row r="6" spans="1:15" ht="15.75">
      <c r="A6" s="206"/>
      <c r="B6" s="1461" t="s">
        <v>295</v>
      </c>
      <c r="C6" s="1461"/>
      <c r="D6" s="1461"/>
      <c r="E6" s="1461"/>
      <c r="F6" s="1461"/>
      <c r="G6" s="1461"/>
      <c r="H6" s="1461"/>
      <c r="I6" s="1461"/>
      <c r="J6" s="1461"/>
      <c r="K6" s="1461"/>
      <c r="L6" s="1461"/>
      <c r="M6" s="1461"/>
      <c r="N6" s="1461"/>
      <c r="O6" s="206"/>
    </row>
    <row r="7" spans="1:15">
      <c r="A7" s="206"/>
      <c r="B7" s="206"/>
      <c r="C7" s="206"/>
      <c r="D7" s="206"/>
      <c r="E7" s="206"/>
      <c r="F7" s="206"/>
      <c r="G7" s="206"/>
      <c r="H7" s="206"/>
      <c r="I7" s="206"/>
      <c r="J7" s="206"/>
      <c r="K7" s="206"/>
      <c r="L7" s="206"/>
      <c r="M7" s="206"/>
      <c r="N7" s="206"/>
      <c r="O7" s="206"/>
    </row>
    <row r="8" spans="1:15" ht="13.5" thickBot="1">
      <c r="A8" s="206"/>
      <c r="B8" s="206"/>
      <c r="C8" s="206"/>
      <c r="D8" s="206"/>
      <c r="E8" s="206"/>
      <c r="F8" s="206"/>
      <c r="G8" s="206"/>
      <c r="H8" s="206"/>
      <c r="I8" s="206"/>
      <c r="J8" s="206"/>
      <c r="K8" s="206"/>
      <c r="L8" s="206"/>
      <c r="M8" s="206"/>
      <c r="N8" s="206"/>
      <c r="O8" s="206"/>
    </row>
    <row r="9" spans="1:15">
      <c r="A9" s="206"/>
      <c r="B9" s="197" t="s">
        <v>8</v>
      </c>
      <c r="C9" s="198" t="s">
        <v>268</v>
      </c>
      <c r="D9" s="198" t="s">
        <v>269</v>
      </c>
      <c r="E9" s="198" t="s">
        <v>270</v>
      </c>
      <c r="F9" s="198" t="s">
        <v>271</v>
      </c>
      <c r="G9" s="198" t="s">
        <v>272</v>
      </c>
      <c r="H9" s="198" t="s">
        <v>273</v>
      </c>
      <c r="I9" s="198" t="s">
        <v>274</v>
      </c>
      <c r="J9" s="198" t="s">
        <v>275</v>
      </c>
      <c r="K9" s="198" t="s">
        <v>276</v>
      </c>
      <c r="L9" s="198" t="s">
        <v>277</v>
      </c>
      <c r="M9" s="198" t="s">
        <v>278</v>
      </c>
      <c r="N9" s="199" t="s">
        <v>279</v>
      </c>
      <c r="O9" s="206"/>
    </row>
    <row r="10" spans="1:15" ht="13.5" thickBot="1">
      <c r="A10" s="206"/>
      <c r="B10" s="204"/>
      <c r="C10" s="182" t="s">
        <v>280</v>
      </c>
      <c r="D10" s="182" t="s">
        <v>281</v>
      </c>
      <c r="E10" s="182" t="s">
        <v>282</v>
      </c>
      <c r="F10" s="182" t="s">
        <v>283</v>
      </c>
      <c r="G10" s="182" t="s">
        <v>284</v>
      </c>
      <c r="H10" s="182" t="s">
        <v>285</v>
      </c>
      <c r="I10" s="182" t="s">
        <v>286</v>
      </c>
      <c r="J10" s="182" t="s">
        <v>287</v>
      </c>
      <c r="K10" s="182" t="s">
        <v>288</v>
      </c>
      <c r="L10" s="182" t="s">
        <v>289</v>
      </c>
      <c r="M10" s="182"/>
      <c r="N10" s="184" t="s">
        <v>290</v>
      </c>
      <c r="O10" s="206"/>
    </row>
    <row r="11" spans="1:15">
      <c r="A11" s="206"/>
      <c r="B11" s="203"/>
      <c r="C11" s="203"/>
      <c r="D11" s="203"/>
      <c r="E11" s="203"/>
      <c r="F11" s="203"/>
      <c r="G11" s="203"/>
      <c r="H11" s="203"/>
      <c r="I11" s="203"/>
      <c r="J11" s="203"/>
      <c r="K11" s="203"/>
      <c r="L11" s="203"/>
      <c r="M11" s="203"/>
      <c r="N11" s="203"/>
      <c r="O11" s="206"/>
    </row>
    <row r="12" spans="1:15">
      <c r="A12" s="206"/>
      <c r="B12" s="186">
        <v>1970</v>
      </c>
      <c r="C12" s="187">
        <v>0.26057128601721335</v>
      </c>
      <c r="D12" s="187">
        <v>0.27753523762005733</v>
      </c>
      <c r="E12" s="187">
        <v>0.11999501060246973</v>
      </c>
      <c r="F12" s="187">
        <v>8.6690782088062843E-2</v>
      </c>
      <c r="G12" s="187">
        <v>1.7462891355868777E-2</v>
      </c>
      <c r="H12" s="187">
        <v>1.0851939628289882E-2</v>
      </c>
      <c r="I12" s="187">
        <v>0.10415367344393163</v>
      </c>
      <c r="J12" s="187">
        <v>8.7314456779343883E-3</v>
      </c>
      <c r="K12" s="187">
        <v>0.11400773356617197</v>
      </c>
      <c r="L12" s="187">
        <v>1</v>
      </c>
      <c r="M12" s="188"/>
      <c r="N12" s="188"/>
      <c r="O12" s="206"/>
    </row>
    <row r="13" spans="1:15">
      <c r="A13" s="206"/>
      <c r="B13" s="186">
        <v>1971</v>
      </c>
      <c r="C13" s="187">
        <v>0.29613683965557364</v>
      </c>
      <c r="D13" s="187">
        <v>0.2863625785431696</v>
      </c>
      <c r="E13" s="187">
        <v>0.12881079823132416</v>
      </c>
      <c r="F13" s="187">
        <v>9.22736793111473E-2</v>
      </c>
      <c r="G13" s="187">
        <v>1.8850360716779146E-2</v>
      </c>
      <c r="H13" s="187">
        <v>1.0937863625785431E-2</v>
      </c>
      <c r="I13" s="187">
        <v>6.0158249941819869E-2</v>
      </c>
      <c r="J13" s="187">
        <v>8.7270188503607155E-3</v>
      </c>
      <c r="K13" s="187">
        <v>9.7742611124040021E-2</v>
      </c>
      <c r="L13" s="187">
        <v>1</v>
      </c>
      <c r="M13" s="188"/>
      <c r="N13" s="189">
        <v>7.02508960573478E-2</v>
      </c>
      <c r="O13" s="206"/>
    </row>
    <row r="14" spans="1:15">
      <c r="A14" s="206"/>
      <c r="B14" s="186">
        <v>1972</v>
      </c>
      <c r="C14" s="187">
        <v>0.30681354549163603</v>
      </c>
      <c r="D14" s="187">
        <v>0.27866177070583431</v>
      </c>
      <c r="E14" s="187">
        <v>0.11699306405548754</v>
      </c>
      <c r="F14" s="187">
        <v>0.10618115055079556</v>
      </c>
      <c r="G14" s="187">
        <v>1.9073847409220721E-2</v>
      </c>
      <c r="H14" s="187">
        <v>9.2819257445940408E-3</v>
      </c>
      <c r="I14" s="187">
        <v>3.9881680946552422E-2</v>
      </c>
      <c r="J14" s="187">
        <v>1.030191758465932E-2</v>
      </c>
      <c r="K14" s="187">
        <v>0.11281109751121991</v>
      </c>
      <c r="L14" s="187">
        <v>1</v>
      </c>
      <c r="M14" s="188"/>
      <c r="N14" s="189">
        <v>0.13931681178834543</v>
      </c>
      <c r="O14" s="206"/>
    </row>
    <row r="15" spans="1:15">
      <c r="A15" s="206"/>
      <c r="B15" s="186">
        <v>1973</v>
      </c>
      <c r="C15" s="187">
        <v>0.29555224142468633</v>
      </c>
      <c r="D15" s="187">
        <v>0.27011141328186677</v>
      </c>
      <c r="E15" s="187">
        <v>0.11264145977717344</v>
      </c>
      <c r="F15" s="187">
        <v>9.3780156154048597E-2</v>
      </c>
      <c r="G15" s="187">
        <v>1.6404947802438809E-2</v>
      </c>
      <c r="H15" s="187">
        <v>7.5445214492499335E-3</v>
      </c>
      <c r="I15" s="187">
        <v>6.0794806561979116E-2</v>
      </c>
      <c r="J15" s="187">
        <v>6.4040705325028504E-3</v>
      </c>
      <c r="K15" s="187">
        <v>0.1367663830160542</v>
      </c>
      <c r="L15" s="187">
        <v>1</v>
      </c>
      <c r="M15" s="188"/>
      <c r="N15" s="189">
        <v>3.292181069958855E-2</v>
      </c>
      <c r="O15" s="206"/>
    </row>
    <row r="16" spans="1:15">
      <c r="A16" s="206"/>
      <c r="B16" s="186">
        <v>1974</v>
      </c>
      <c r="C16" s="187">
        <v>0.29886759581881533</v>
      </c>
      <c r="D16" s="187">
        <v>0.29686411149825787</v>
      </c>
      <c r="E16" s="187">
        <v>0.10879790940766551</v>
      </c>
      <c r="F16" s="187">
        <v>0.10452961672473868</v>
      </c>
      <c r="G16" s="187">
        <v>1.6550522648083623E-2</v>
      </c>
      <c r="H16" s="187">
        <v>3.0487804878048782E-3</v>
      </c>
      <c r="I16" s="187">
        <v>1.6027874564459928E-2</v>
      </c>
      <c r="J16" s="187">
        <v>9.5818815331010446E-3</v>
      </c>
      <c r="K16" s="187">
        <v>0.14573170731707313</v>
      </c>
      <c r="L16" s="187">
        <v>1</v>
      </c>
      <c r="M16" s="188"/>
      <c r="N16" s="189">
        <v>7.1713147410358724E-2</v>
      </c>
      <c r="O16" s="206"/>
    </row>
    <row r="17" spans="1:15">
      <c r="A17" s="206"/>
      <c r="B17" s="186">
        <v>1975</v>
      </c>
      <c r="C17" s="187">
        <v>0.29762002799967058</v>
      </c>
      <c r="D17" s="187">
        <v>0.28971423865601581</v>
      </c>
      <c r="E17" s="187">
        <v>0.10928106728156139</v>
      </c>
      <c r="F17" s="187">
        <v>0.1170221526805567</v>
      </c>
      <c r="G17" s="187">
        <v>1.6388042493617722E-2</v>
      </c>
      <c r="H17" s="187">
        <v>3.3764308655192289E-3</v>
      </c>
      <c r="I17" s="187">
        <v>1.2105739932471382E-2</v>
      </c>
      <c r="J17" s="187">
        <v>1.1776332043152435E-2</v>
      </c>
      <c r="K17" s="187">
        <v>0.14271596804743469</v>
      </c>
      <c r="L17" s="187">
        <v>1</v>
      </c>
      <c r="M17" s="188"/>
      <c r="N17" s="189">
        <v>4.4078597981943579E-2</v>
      </c>
      <c r="O17" s="206"/>
    </row>
    <row r="18" spans="1:15">
      <c r="A18" s="206"/>
      <c r="B18" s="186">
        <v>1976</v>
      </c>
      <c r="C18" s="187">
        <v>0.2916882924297472</v>
      </c>
      <c r="D18" s="187">
        <v>0.27003781419144363</v>
      </c>
      <c r="E18" s="187">
        <v>9.5721806183732494E-2</v>
      </c>
      <c r="F18" s="187">
        <v>0.13183065173871139</v>
      </c>
      <c r="G18" s="187">
        <v>1.542225847112034E-2</v>
      </c>
      <c r="H18" s="187">
        <v>3.4106917772669981E-3</v>
      </c>
      <c r="I18" s="187">
        <v>2.8620152739675248E-2</v>
      </c>
      <c r="J18" s="187">
        <v>1.0825239119151777E-2</v>
      </c>
      <c r="K18" s="187">
        <v>0.15244309334915115</v>
      </c>
      <c r="L18" s="187">
        <v>1</v>
      </c>
      <c r="M18" s="188"/>
      <c r="N18" s="189">
        <v>0.15768056968463884</v>
      </c>
      <c r="O18" s="206"/>
    </row>
    <row r="19" spans="1:15">
      <c r="A19" s="206"/>
      <c r="B19" s="186">
        <v>1977</v>
      </c>
      <c r="C19" s="187">
        <v>0.27752878714748669</v>
      </c>
      <c r="D19" s="187">
        <v>0.27346066331103908</v>
      </c>
      <c r="E19" s="187">
        <v>8.8188650624008824E-2</v>
      </c>
      <c r="F19" s="187">
        <v>0.13548920912914567</v>
      </c>
      <c r="G19" s="187">
        <v>1.5789836585534026E-2</v>
      </c>
      <c r="H19" s="187">
        <v>3.5854650761911327E-3</v>
      </c>
      <c r="I19" s="187">
        <v>6.4676273874370804E-2</v>
      </c>
      <c r="J19" s="187">
        <v>1.0135833965386471E-2</v>
      </c>
      <c r="K19" s="187">
        <v>0.13114528028683722</v>
      </c>
      <c r="L19" s="187">
        <v>1</v>
      </c>
      <c r="M19" s="188"/>
      <c r="N19" s="189">
        <v>3.5588752196836548E-2</v>
      </c>
      <c r="O19" s="206"/>
    </row>
    <row r="20" spans="1:15">
      <c r="A20" s="206"/>
      <c r="B20" s="186">
        <v>1978</v>
      </c>
      <c r="C20" s="187">
        <v>0.28119256687768029</v>
      </c>
      <c r="D20" s="187">
        <v>0.28527670002042077</v>
      </c>
      <c r="E20" s="187">
        <v>9.6998162140085789E-2</v>
      </c>
      <c r="F20" s="187">
        <v>0.15213395956708192</v>
      </c>
      <c r="G20" s="187">
        <v>1.6200394799537134E-2</v>
      </c>
      <c r="H20" s="187">
        <v>5.105166428425568E-3</v>
      </c>
      <c r="I20" s="187">
        <v>1.5723912599550749E-2</v>
      </c>
      <c r="J20" s="187">
        <v>1.061874617112518E-2</v>
      </c>
      <c r="K20" s="187">
        <v>0.1367503913960928</v>
      </c>
      <c r="L20" s="187">
        <v>1</v>
      </c>
      <c r="M20" s="188"/>
      <c r="N20" s="189">
        <v>6.9579974543911849E-2</v>
      </c>
      <c r="O20" s="206"/>
    </row>
    <row r="21" spans="1:15">
      <c r="A21" s="206"/>
      <c r="B21" s="186">
        <v>1979</v>
      </c>
      <c r="C21" s="187">
        <v>0.25794663573085846</v>
      </c>
      <c r="D21" s="187">
        <v>0.25812064965197218</v>
      </c>
      <c r="E21" s="187">
        <v>9.3851508120649657E-2</v>
      </c>
      <c r="F21" s="187">
        <v>0.1451276102088167</v>
      </c>
      <c r="G21" s="187">
        <v>1.4965197215777262E-2</v>
      </c>
      <c r="H21" s="187">
        <v>5.4524361948955916E-3</v>
      </c>
      <c r="I21" s="187">
        <v>7.4245939675174011E-2</v>
      </c>
      <c r="J21" s="187">
        <v>9.2807424593967514E-3</v>
      </c>
      <c r="K21" s="187">
        <v>0.14100928074245933</v>
      </c>
      <c r="L21" s="187">
        <v>1</v>
      </c>
      <c r="M21" s="188"/>
      <c r="N21" s="189">
        <v>0.13209044030146755</v>
      </c>
      <c r="O21" s="206"/>
    </row>
    <row r="22" spans="1:15">
      <c r="A22" s="206"/>
      <c r="B22" s="186">
        <v>1980</v>
      </c>
      <c r="C22" s="187">
        <v>0.26017648733276394</v>
      </c>
      <c r="D22" s="187">
        <v>0.27281525761457437</v>
      </c>
      <c r="E22" s="187">
        <v>0.10498149729575859</v>
      </c>
      <c r="F22" s="187">
        <v>0.16009109023626525</v>
      </c>
      <c r="G22" s="187">
        <v>1.7648733276401932E-2</v>
      </c>
      <c r="H22" s="187">
        <v>5.4654141759180172E-3</v>
      </c>
      <c r="I22" s="187">
        <v>9.1090236265300283E-3</v>
      </c>
      <c r="J22" s="187">
        <v>7.9134642755479632E-3</v>
      </c>
      <c r="K22" s="187">
        <v>0.16179903216623978</v>
      </c>
      <c r="L22" s="187">
        <v>1</v>
      </c>
      <c r="M22" s="188"/>
      <c r="N22" s="189">
        <v>7.0427470217238941E-2</v>
      </c>
      <c r="O22" s="206"/>
    </row>
    <row r="23" spans="1:15">
      <c r="A23" s="206"/>
      <c r="B23" s="186">
        <v>1981</v>
      </c>
      <c r="C23" s="187">
        <v>0.25468204990609072</v>
      </c>
      <c r="D23" s="187">
        <v>0.26723906627314198</v>
      </c>
      <c r="E23" s="187">
        <v>0.10110008049369468</v>
      </c>
      <c r="F23" s="187">
        <v>0.15422591896968071</v>
      </c>
      <c r="G23" s="187">
        <v>1.7601287899114571E-2</v>
      </c>
      <c r="H23" s="187">
        <v>5.7955460155621153E-3</v>
      </c>
      <c r="I23" s="187">
        <v>2.4953045344781329E-2</v>
      </c>
      <c r="J23" s="187">
        <v>8.4786691709149466E-3</v>
      </c>
      <c r="K23" s="187">
        <v>0.16592433592701897</v>
      </c>
      <c r="L23" s="187">
        <v>1</v>
      </c>
      <c r="M23" s="188"/>
      <c r="N23" s="189">
        <v>4.7135842880523748E-2</v>
      </c>
      <c r="O23" s="206"/>
    </row>
    <row r="24" spans="1:15">
      <c r="A24" s="206"/>
      <c r="B24" s="186">
        <v>1982</v>
      </c>
      <c r="C24" s="187">
        <v>0.24575227776409753</v>
      </c>
      <c r="D24" s="187">
        <v>0.26200443240581139</v>
      </c>
      <c r="E24" s="187">
        <v>0.10736271854223098</v>
      </c>
      <c r="F24" s="187">
        <v>0.15331199212016744</v>
      </c>
      <c r="G24" s="187">
        <v>1.7089386850529426E-2</v>
      </c>
      <c r="H24" s="187">
        <v>6.0576212755478953E-3</v>
      </c>
      <c r="I24" s="187">
        <v>2.5313962078305836E-2</v>
      </c>
      <c r="J24" s="187">
        <v>7.9290815070179772E-3</v>
      </c>
      <c r="K24" s="187">
        <v>0.17517852745629159</v>
      </c>
      <c r="L24" s="187">
        <v>1</v>
      </c>
      <c r="M24" s="188"/>
      <c r="N24" s="189">
        <v>0.13222882150672088</v>
      </c>
      <c r="O24" s="206"/>
    </row>
    <row r="25" spans="1:15">
      <c r="A25" s="206"/>
      <c r="B25" s="186">
        <v>1983</v>
      </c>
      <c r="C25" s="187">
        <v>0.24066560291771141</v>
      </c>
      <c r="D25" s="187">
        <v>0.25890129929336675</v>
      </c>
      <c r="E25" s="187">
        <v>9.9749259174834751E-2</v>
      </c>
      <c r="F25" s="187">
        <v>0.15372692044677455</v>
      </c>
      <c r="G25" s="187">
        <v>1.6776840665602918E-2</v>
      </c>
      <c r="H25" s="187">
        <v>5.7898335992705718E-3</v>
      </c>
      <c r="I25" s="187">
        <v>6.0542511967175749E-2</v>
      </c>
      <c r="J25" s="187">
        <v>7.5222247549578299E-3</v>
      </c>
      <c r="K25" s="187">
        <v>0.1563255071803055</v>
      </c>
      <c r="L25" s="187">
        <v>1</v>
      </c>
      <c r="M25" s="188"/>
      <c r="N25" s="189">
        <v>3.5339591385974645E-2</v>
      </c>
      <c r="O25" s="206"/>
    </row>
    <row r="26" spans="1:15">
      <c r="A26" s="206"/>
      <c r="B26" s="186">
        <v>1984</v>
      </c>
      <c r="C26" s="187">
        <v>0.23428725459364746</v>
      </c>
      <c r="D26" s="187">
        <v>0.25805292241340572</v>
      </c>
      <c r="E26" s="187">
        <v>0.10274495709600608</v>
      </c>
      <c r="F26" s="187">
        <v>0.14672716653937731</v>
      </c>
      <c r="G26" s="187">
        <v>1.6667415427467538E-2</v>
      </c>
      <c r="H26" s="187">
        <v>5.5707803585066705E-3</v>
      </c>
      <c r="I26" s="187">
        <v>4.4386540275843468E-2</v>
      </c>
      <c r="J26" s="187">
        <v>7.6373601689204351E-3</v>
      </c>
      <c r="K26" s="187">
        <v>0.1839256031268251</v>
      </c>
      <c r="L26" s="187">
        <v>1</v>
      </c>
      <c r="M26" s="188"/>
      <c r="N26" s="189">
        <v>2.8799999999999937E-2</v>
      </c>
      <c r="O26" s="206"/>
    </row>
    <row r="27" spans="1:15">
      <c r="A27" s="206"/>
      <c r="B27" s="186">
        <v>1985</v>
      </c>
      <c r="C27" s="187">
        <v>0.23192009614986112</v>
      </c>
      <c r="D27" s="187">
        <v>0.25272493679804375</v>
      </c>
      <c r="E27" s="187">
        <v>0.10460441792034479</v>
      </c>
      <c r="F27" s="187">
        <v>0.14505366985784737</v>
      </c>
      <c r="G27" s="187">
        <v>1.5624352438973846E-2</v>
      </c>
      <c r="H27" s="187">
        <v>5.2633760205561759E-3</v>
      </c>
      <c r="I27" s="187">
        <v>4.3474657051680542E-2</v>
      </c>
      <c r="J27" s="187">
        <v>7.0454639645240154E-3</v>
      </c>
      <c r="K27" s="187">
        <v>0.1942890297981682</v>
      </c>
      <c r="L27" s="187">
        <v>1</v>
      </c>
      <c r="M27" s="188"/>
      <c r="N27" s="189">
        <v>9.9015033696215671E-2</v>
      </c>
      <c r="O27" s="206"/>
    </row>
    <row r="28" spans="1:15">
      <c r="A28" s="206"/>
      <c r="B28" s="186">
        <v>1986</v>
      </c>
      <c r="C28" s="187">
        <v>0.23654363331644387</v>
      </c>
      <c r="D28" s="187">
        <v>0.25244572631250733</v>
      </c>
      <c r="E28" s="187">
        <v>0.10429902170947501</v>
      </c>
      <c r="F28" s="187">
        <v>0.14132595393070119</v>
      </c>
      <c r="G28" s="187">
        <v>1.5317457224149355E-2</v>
      </c>
      <c r="H28" s="187">
        <v>5.0278676384612388E-3</v>
      </c>
      <c r="I28" s="187">
        <v>3.5779709241142772E-2</v>
      </c>
      <c r="J28" s="187">
        <v>6.3530420547998605E-3</v>
      </c>
      <c r="K28" s="187">
        <v>0.20290758857231941</v>
      </c>
      <c r="L28" s="187">
        <v>1</v>
      </c>
      <c r="M28" s="188"/>
      <c r="N28" s="189">
        <v>5.1650943396226445E-2</v>
      </c>
      <c r="O28" s="206"/>
    </row>
    <row r="29" spans="1:15">
      <c r="A29" s="206"/>
      <c r="B29" s="186">
        <v>1987</v>
      </c>
      <c r="C29" s="187">
        <v>0.24113088090819784</v>
      </c>
      <c r="D29" s="187">
        <v>0.24684350325655863</v>
      </c>
      <c r="E29" s="187">
        <v>0.11115962595058765</v>
      </c>
      <c r="F29" s="187">
        <v>0.13830367863770332</v>
      </c>
      <c r="G29" s="187">
        <v>1.4991085398246191E-2</v>
      </c>
      <c r="H29" s="187">
        <v>4.8393552377833582E-3</v>
      </c>
      <c r="I29" s="187">
        <v>3.3111377942728233E-2</v>
      </c>
      <c r="J29" s="187">
        <v>6.876978495797402E-3</v>
      </c>
      <c r="K29" s="187">
        <v>0.20274351417239744</v>
      </c>
      <c r="L29" s="187">
        <v>1</v>
      </c>
      <c r="M29" s="188"/>
      <c r="N29" s="189">
        <v>6.4812738282126192E-2</v>
      </c>
      <c r="O29" s="206"/>
    </row>
    <row r="30" spans="1:15">
      <c r="A30" s="206"/>
      <c r="B30" s="186">
        <v>1988</v>
      </c>
      <c r="C30" s="187">
        <v>0.25392457071979535</v>
      </c>
      <c r="D30" s="187">
        <v>0.23469901934183496</v>
      </c>
      <c r="E30" s="187">
        <v>9.5623861389976347E-2</v>
      </c>
      <c r="F30" s="187">
        <v>0.14101321756657234</v>
      </c>
      <c r="G30" s="187">
        <v>1.6395984340478311E-2</v>
      </c>
      <c r="H30" s="187">
        <v>5.0001938059614712E-3</v>
      </c>
      <c r="I30" s="187">
        <v>4.5273072599713166E-2</v>
      </c>
      <c r="J30" s="187">
        <v>7.7522384588549938E-3</v>
      </c>
      <c r="K30" s="187">
        <v>0.20031784177681311</v>
      </c>
      <c r="L30" s="187">
        <v>1</v>
      </c>
      <c r="M30" s="188"/>
      <c r="N30" s="189">
        <v>-8.2139848357203338E-3</v>
      </c>
      <c r="O30" s="206"/>
    </row>
    <row r="31" spans="1:15">
      <c r="A31" s="206"/>
      <c r="B31" s="186">
        <v>1989</v>
      </c>
      <c r="C31" s="187">
        <v>0.23377909856364534</v>
      </c>
      <c r="D31" s="187">
        <v>0.23267421038594888</v>
      </c>
      <c r="E31" s="187">
        <v>9.7115860860288783E-2</v>
      </c>
      <c r="F31" s="187">
        <v>0.13590124585666932</v>
      </c>
      <c r="G31" s="187">
        <v>1.6382824703775667E-2</v>
      </c>
      <c r="H31" s="187">
        <v>4.8767478187983389E-3</v>
      </c>
      <c r="I31" s="187">
        <v>2.7050710557397033E-2</v>
      </c>
      <c r="J31" s="187">
        <v>7.9628147978816621E-3</v>
      </c>
      <c r="K31" s="187">
        <v>0.24425648645559486</v>
      </c>
      <c r="L31" s="187">
        <v>1</v>
      </c>
      <c r="M31" s="188"/>
      <c r="N31" s="189">
        <v>-5.2452750053089803E-2</v>
      </c>
      <c r="O31" s="206"/>
    </row>
    <row r="32" spans="1:15">
      <c r="A32" s="206"/>
      <c r="B32" s="186">
        <v>1990</v>
      </c>
      <c r="C32" s="187">
        <v>0.2320745784931357</v>
      </c>
      <c r="D32" s="187">
        <v>0.23072721313863298</v>
      </c>
      <c r="E32" s="187">
        <v>0.10068824878919194</v>
      </c>
      <c r="F32" s="187">
        <v>0.12916499763300682</v>
      </c>
      <c r="G32" s="187">
        <v>1.6059138414478716E-2</v>
      </c>
      <c r="H32" s="187">
        <v>4.515494701576782E-3</v>
      </c>
      <c r="I32" s="187">
        <v>2.6291832052729325E-2</v>
      </c>
      <c r="J32" s="187">
        <v>8.0841921270164967E-3</v>
      </c>
      <c r="K32" s="187">
        <v>0.25239430465023122</v>
      </c>
      <c r="L32" s="187">
        <v>1</v>
      </c>
      <c r="M32" s="188"/>
      <c r="N32" s="189">
        <v>4.0788883908561058E-2</v>
      </c>
      <c r="O32" s="206"/>
    </row>
    <row r="33" spans="1:15">
      <c r="A33" s="206"/>
      <c r="B33" s="186">
        <v>1991</v>
      </c>
      <c r="C33" s="187">
        <v>0.23247945867568878</v>
      </c>
      <c r="D33" s="187">
        <v>0.24273285921425125</v>
      </c>
      <c r="E33" s="187">
        <v>0.11085410481253886</v>
      </c>
      <c r="F33" s="187">
        <v>0.12069322654146243</v>
      </c>
      <c r="G33" s="187">
        <v>1.5569978595594839E-2</v>
      </c>
      <c r="H33" s="187">
        <v>4.3154042670717398E-3</v>
      </c>
      <c r="I33" s="187">
        <v>2.0368708140578614E-2</v>
      </c>
      <c r="J33" s="187">
        <v>7.6296347441828366E-3</v>
      </c>
      <c r="K33" s="187">
        <v>0.24535662500863079</v>
      </c>
      <c r="L33" s="187">
        <v>1</v>
      </c>
      <c r="M33" s="188"/>
      <c r="N33" s="189">
        <v>5.1894918173988058E-2</v>
      </c>
      <c r="O33" s="206"/>
    </row>
    <row r="34" spans="1:15">
      <c r="A34" s="206"/>
      <c r="B34" s="186">
        <v>1992</v>
      </c>
      <c r="C34" s="187">
        <v>0.23784699163235484</v>
      </c>
      <c r="D34" s="187">
        <v>0.25039845929074245</v>
      </c>
      <c r="E34" s="187">
        <v>0.12159649355824145</v>
      </c>
      <c r="F34" s="187">
        <v>0.12212777261256474</v>
      </c>
      <c r="G34" s="187">
        <v>1.5108248107318367E-2</v>
      </c>
      <c r="H34" s="187">
        <v>4.3498472572718813E-3</v>
      </c>
      <c r="I34" s="187">
        <v>8.8989241599149952E-3</v>
      </c>
      <c r="J34" s="187">
        <v>7.1722672333643239E-3</v>
      </c>
      <c r="K34" s="187">
        <v>0.23250099614822692</v>
      </c>
      <c r="L34" s="187">
        <v>1</v>
      </c>
      <c r="M34" s="188"/>
      <c r="N34" s="189">
        <v>6.0388945752303025E-2</v>
      </c>
      <c r="O34" s="206"/>
    </row>
    <row r="35" spans="1:15">
      <c r="A35" s="206"/>
      <c r="B35" s="186">
        <v>1993</v>
      </c>
      <c r="C35" s="187">
        <v>0.2343784189303241</v>
      </c>
      <c r="D35" s="187">
        <v>0.2624488137288612</v>
      </c>
      <c r="E35" s="187">
        <v>0.1281297865024538</v>
      </c>
      <c r="F35" s="187">
        <v>0.12278453314994842</v>
      </c>
      <c r="G35" s="187">
        <v>1.3972679816198305E-2</v>
      </c>
      <c r="H35" s="187">
        <v>4.1574192741708604E-3</v>
      </c>
      <c r="I35" s="187">
        <v>4.8763714794786027E-3</v>
      </c>
      <c r="J35" s="187">
        <v>6.4080522646994464E-3</v>
      </c>
      <c r="K35" s="187">
        <v>0.22284392485386514</v>
      </c>
      <c r="L35" s="187">
        <v>1</v>
      </c>
      <c r="M35" s="188"/>
      <c r="N35" s="189">
        <v>4.4787644787644965E-2</v>
      </c>
      <c r="O35" s="206"/>
    </row>
    <row r="36" spans="1:15">
      <c r="A36" s="206"/>
      <c r="B36" s="186">
        <v>1994</v>
      </c>
      <c r="C36" s="187">
        <v>0.23191176470588237</v>
      </c>
      <c r="D36" s="187">
        <v>0.26855882352941179</v>
      </c>
      <c r="E36" s="187">
        <v>0.12638235294117647</v>
      </c>
      <c r="F36" s="187">
        <v>0.12241176470588237</v>
      </c>
      <c r="G36" s="187">
        <v>1.3088235294117649E-2</v>
      </c>
      <c r="H36" s="187">
        <v>4.0294117647058829E-3</v>
      </c>
      <c r="I36" s="187">
        <v>1.3647058823529413E-2</v>
      </c>
      <c r="J36" s="187">
        <v>5.8235294117647066E-3</v>
      </c>
      <c r="K36" s="187">
        <v>0.21414705882352941</v>
      </c>
      <c r="L36" s="187">
        <v>1</v>
      </c>
      <c r="M36" s="188"/>
      <c r="N36" s="189">
        <v>9.2941611234294008E-2</v>
      </c>
      <c r="O36" s="206"/>
    </row>
    <row r="37" spans="1:15">
      <c r="A37" s="206"/>
      <c r="B37" s="186">
        <v>1995</v>
      </c>
      <c r="C37" s="187">
        <v>0.23434823451400788</v>
      </c>
      <c r="D37" s="187">
        <v>0.27653754765983313</v>
      </c>
      <c r="E37" s="187">
        <v>0.12687185721390287</v>
      </c>
      <c r="F37" s="187">
        <v>0.12792175498701444</v>
      </c>
      <c r="G37" s="187">
        <v>1.4505166602199261E-2</v>
      </c>
      <c r="H37" s="187">
        <v>4.0338177598496991E-3</v>
      </c>
      <c r="I37" s="187">
        <v>3.5364977620600106E-3</v>
      </c>
      <c r="J37" s="187">
        <v>5.0837155329612645E-3</v>
      </c>
      <c r="K37" s="187">
        <v>0.20716140796817148</v>
      </c>
      <c r="L37" s="187">
        <v>1</v>
      </c>
      <c r="M37" s="188"/>
      <c r="N37" s="189">
        <v>4.6830092983939142E-2</v>
      </c>
      <c r="O37" s="206"/>
    </row>
    <row r="38" spans="1:15">
      <c r="A38" s="206"/>
      <c r="B38" s="186">
        <v>1996</v>
      </c>
      <c r="C38" s="187">
        <v>0.22740924179356131</v>
      </c>
      <c r="D38" s="187">
        <v>0.27448759154855368</v>
      </c>
      <c r="E38" s="187">
        <v>0.12310975288476737</v>
      </c>
      <c r="F38" s="187">
        <v>0.12919542652405289</v>
      </c>
      <c r="G38" s="187">
        <v>1.5859634332683493E-2</v>
      </c>
      <c r="H38" s="187">
        <v>3.9253912218768115E-3</v>
      </c>
      <c r="I38" s="187">
        <v>7.3502292006955051E-3</v>
      </c>
      <c r="J38" s="187">
        <v>4.7947731703461716E-3</v>
      </c>
      <c r="K38" s="187">
        <v>0.21386795932346281</v>
      </c>
      <c r="L38" s="187">
        <v>1</v>
      </c>
      <c r="M38" s="188"/>
      <c r="N38" s="189">
        <v>3.3430232558139483E-2</v>
      </c>
      <c r="O38" s="206"/>
    </row>
    <row r="39" spans="1:15">
      <c r="A39" s="206"/>
      <c r="B39" s="186">
        <v>1997</v>
      </c>
      <c r="C39" s="187">
        <v>0.22033659270402409</v>
      </c>
      <c r="D39" s="187">
        <v>0.27775949605114708</v>
      </c>
      <c r="E39" s="187">
        <v>0.11082643851071833</v>
      </c>
      <c r="F39" s="187">
        <v>0.11942929672809328</v>
      </c>
      <c r="G39" s="187">
        <v>1.4761188416698007E-2</v>
      </c>
      <c r="H39" s="187">
        <v>5.5236931177134263E-3</v>
      </c>
      <c r="I39" s="187">
        <v>2.3481572019556227E-2</v>
      </c>
      <c r="J39" s="187">
        <v>4.0428732606242954E-3</v>
      </c>
      <c r="K39" s="187">
        <v>0.2238388491914253</v>
      </c>
      <c r="L39" s="187">
        <v>1</v>
      </c>
      <c r="M39" s="188"/>
      <c r="N39" s="189">
        <v>0.10423503672448819</v>
      </c>
      <c r="O39" s="206"/>
    </row>
    <row r="40" spans="1:15">
      <c r="A40" s="206"/>
      <c r="B40" s="186">
        <v>1998</v>
      </c>
      <c r="C40" s="187">
        <v>0.23385632478234555</v>
      </c>
      <c r="D40" s="187">
        <v>0.31239815633874946</v>
      </c>
      <c r="E40" s="187">
        <v>0.11350621537315518</v>
      </c>
      <c r="F40" s="187">
        <v>0.11103868895199963</v>
      </c>
      <c r="G40" s="187">
        <v>1.4991386936077098E-2</v>
      </c>
      <c r="H40" s="187">
        <v>3.8875180408771354E-3</v>
      </c>
      <c r="I40" s="187">
        <v>2.3278551142976861E-8</v>
      </c>
      <c r="J40" s="187">
        <v>0</v>
      </c>
      <c r="K40" s="187">
        <v>0.21032168629824485</v>
      </c>
      <c r="L40" s="187">
        <v>1</v>
      </c>
      <c r="M40" s="188"/>
      <c r="N40" s="189">
        <v>2.8021511463345528E-2</v>
      </c>
      <c r="O40" s="206"/>
    </row>
    <row r="41" spans="1:15">
      <c r="A41" s="206"/>
      <c r="B41" s="186">
        <v>1999</v>
      </c>
      <c r="C41" s="187">
        <v>0.23285283271873955</v>
      </c>
      <c r="D41" s="187">
        <v>0.32383506537043244</v>
      </c>
      <c r="E41" s="187">
        <v>0.1171751033635043</v>
      </c>
      <c r="F41" s="187">
        <v>0.10912951167728238</v>
      </c>
      <c r="G41" s="187">
        <v>1.4549111632584644E-2</v>
      </c>
      <c r="H41" s="187">
        <v>2.1007933847357247E-3</v>
      </c>
      <c r="I41" s="187">
        <v>2.2348865795060902E-8</v>
      </c>
      <c r="J41" s="187">
        <v>0</v>
      </c>
      <c r="K41" s="187">
        <v>0.20035755950385514</v>
      </c>
      <c r="L41" s="187">
        <v>1</v>
      </c>
      <c r="M41" s="188"/>
      <c r="N41" s="189">
        <v>3.8683920704845942E-2</v>
      </c>
      <c r="O41" s="206"/>
    </row>
    <row r="42" spans="1:15">
      <c r="A42" s="206"/>
      <c r="B42" s="186">
        <v>2000</v>
      </c>
      <c r="C42" s="187">
        <v>0.22508303975842978</v>
      </c>
      <c r="D42" s="187">
        <v>0.31589330649219932</v>
      </c>
      <c r="E42" s="187">
        <v>0.10194262707599396</v>
      </c>
      <c r="F42" s="187">
        <v>0.10925012581781582</v>
      </c>
      <c r="G42" s="187">
        <v>1.1051836940110719E-2</v>
      </c>
      <c r="H42" s="187">
        <v>1.9325616507297433E-3</v>
      </c>
      <c r="I42" s="187">
        <v>2.0130850528434827E-8</v>
      </c>
      <c r="J42" s="187">
        <v>4.0261701056869654E-5</v>
      </c>
      <c r="K42" s="187">
        <v>0.23480622043281327</v>
      </c>
      <c r="L42" s="187">
        <v>1</v>
      </c>
      <c r="M42" s="188"/>
      <c r="N42" s="189">
        <v>2.9821073558648159E-2</v>
      </c>
      <c r="O42" s="206"/>
    </row>
    <row r="43" spans="1:15">
      <c r="A43" s="206"/>
      <c r="B43" s="186">
        <v>2001</v>
      </c>
      <c r="C43" s="187">
        <v>0.23226464529290586</v>
      </c>
      <c r="D43" s="187">
        <v>0.32380647612952262</v>
      </c>
      <c r="E43" s="187">
        <v>9.6121922438448776E-2</v>
      </c>
      <c r="F43" s="187">
        <v>0.11558231164623294</v>
      </c>
      <c r="G43" s="187">
        <v>1.6240324806496131E-2</v>
      </c>
      <c r="H43" s="187">
        <v>2.1400428008560173E-3</v>
      </c>
      <c r="I43" s="187">
        <v>2.0000400008000162E-8</v>
      </c>
      <c r="J43" s="187">
        <v>6.4001280025600515E-4</v>
      </c>
      <c r="K43" s="187">
        <v>0.21320424408488167</v>
      </c>
      <c r="L43" s="187">
        <v>1</v>
      </c>
      <c r="M43" s="188"/>
      <c r="N43" s="189">
        <v>5.0579150579150411E-2</v>
      </c>
      <c r="O43" s="206"/>
    </row>
    <row r="44" spans="1:15">
      <c r="A44" s="206"/>
      <c r="B44" s="186">
        <v>2002</v>
      </c>
      <c r="C44" s="187">
        <v>0.24149223432981598</v>
      </c>
      <c r="D44" s="187">
        <v>0.33199915736254476</v>
      </c>
      <c r="E44" s="187">
        <v>8.3995633605913791E-2</v>
      </c>
      <c r="F44" s="187">
        <v>0.11132389834728153</v>
      </c>
      <c r="G44" s="187">
        <v>1.5167474194227934E-2</v>
      </c>
      <c r="H44" s="187">
        <v>1.7235766129804471E-3</v>
      </c>
      <c r="I44" s="187">
        <v>1.9150851255338303E-8</v>
      </c>
      <c r="J44" s="187">
        <v>1.972537679299845E-3</v>
      </c>
      <c r="K44" s="187">
        <v>0.21232546871708441</v>
      </c>
      <c r="L44" s="187">
        <v>1</v>
      </c>
      <c r="M44" s="188"/>
      <c r="N44" s="189">
        <v>2.1536199926497579E-2</v>
      </c>
      <c r="O44" s="206"/>
    </row>
    <row r="45" spans="1:15">
      <c r="A45" s="206"/>
      <c r="B45" s="186">
        <v>2003</v>
      </c>
      <c r="C45" s="187">
        <v>0.25103882005016287</v>
      </c>
      <c r="D45" s="187">
        <v>0.36459776138958566</v>
      </c>
      <c r="E45" s="187">
        <v>6.0214127952682231E-2</v>
      </c>
      <c r="F45" s="187">
        <v>0.11041440497136226</v>
      </c>
      <c r="G45" s="187">
        <v>1.7762886983865536E-2</v>
      </c>
      <c r="H45" s="187">
        <v>1.6017856474375774E-3</v>
      </c>
      <c r="I45" s="187">
        <v>1.8717478381312473E-8</v>
      </c>
      <c r="J45" s="187">
        <v>5.0537191629543678E-4</v>
      </c>
      <c r="K45" s="187">
        <v>0.19386482237113012</v>
      </c>
      <c r="L45" s="187">
        <v>1</v>
      </c>
      <c r="M45" s="188"/>
      <c r="N45" s="189">
        <v>3.3506020050846796E-2</v>
      </c>
      <c r="O45" s="206"/>
    </row>
    <row r="46" spans="1:15">
      <c r="A46" s="206"/>
      <c r="B46" s="186">
        <v>2004</v>
      </c>
      <c r="C46" s="187">
        <v>0.25806856937713152</v>
      </c>
      <c r="D46" s="187">
        <v>0.37070543887991375</v>
      </c>
      <c r="E46" s="187">
        <v>6.0491832705079865E-2</v>
      </c>
      <c r="F46" s="187">
        <v>0.1141267276970023</v>
      </c>
      <c r="G46" s="187">
        <v>1.9170705438879911E-2</v>
      </c>
      <c r="H46" s="187">
        <v>8.9750493627714938E-4</v>
      </c>
      <c r="I46" s="187">
        <v>1.7950098725542989E-8</v>
      </c>
      <c r="J46" s="187">
        <v>1.38215760186681E-3</v>
      </c>
      <c r="K46" s="187">
        <v>0.17515704541374991</v>
      </c>
      <c r="L46" s="187">
        <v>1</v>
      </c>
      <c r="M46" s="188"/>
      <c r="N46" s="189">
        <v>4.7620152700099672E-2</v>
      </c>
      <c r="O46" s="206"/>
    </row>
    <row r="47" spans="1:15">
      <c r="A47" s="206"/>
      <c r="B47" s="186">
        <v>2005</v>
      </c>
      <c r="C47" s="187">
        <v>0.26191560147084575</v>
      </c>
      <c r="D47" s="187">
        <v>0.38177201891087376</v>
      </c>
      <c r="E47" s="187">
        <v>5.9744353002976716E-2</v>
      </c>
      <c r="F47" s="187">
        <v>0.11222202766590791</v>
      </c>
      <c r="G47" s="187">
        <v>1.9296095254771498E-2</v>
      </c>
      <c r="H47" s="187">
        <v>8.5799334617405029E-4</v>
      </c>
      <c r="I47" s="187">
        <v>1.7510068289266332E-8</v>
      </c>
      <c r="J47" s="187">
        <v>1.3132551216949748E-3</v>
      </c>
      <c r="K47" s="187">
        <v>0.1628786377166872</v>
      </c>
      <c r="L47" s="187">
        <v>1</v>
      </c>
      <c r="M47" s="188"/>
      <c r="N47" s="189">
        <v>2.259486520612275E-2</v>
      </c>
      <c r="O47" s="206"/>
    </row>
    <row r="48" spans="1:15">
      <c r="A48" s="206"/>
      <c r="B48" s="186">
        <v>2006</v>
      </c>
      <c r="C48" s="187">
        <v>0.26175080613515772</v>
      </c>
      <c r="D48" s="187">
        <v>0.36398751130295326</v>
      </c>
      <c r="E48" s="187">
        <v>8.3718628973094705E-2</v>
      </c>
      <c r="F48" s="187">
        <v>0.11174995308208076</v>
      </c>
      <c r="G48" s="187">
        <v>1.9876136693225053E-2</v>
      </c>
      <c r="H48" s="187">
        <v>1.7061061539248974E-9</v>
      </c>
      <c r="I48" s="187">
        <v>1.7061061539248973E-8</v>
      </c>
      <c r="J48" s="187">
        <v>6.3125927695221193E-4</v>
      </c>
      <c r="K48" s="187">
        <v>0.15828568576936861</v>
      </c>
      <c r="L48" s="187">
        <v>1</v>
      </c>
      <c r="M48" s="188"/>
      <c r="N48" s="189">
        <v>2.7576197387518153E-2</v>
      </c>
      <c r="O48" s="206"/>
    </row>
    <row r="49" spans="1:15">
      <c r="A49" s="206"/>
      <c r="B49" s="186">
        <v>2007</v>
      </c>
      <c r="C49" s="187">
        <v>0.26228900914830561</v>
      </c>
      <c r="D49" s="187">
        <v>0.37733539492333457</v>
      </c>
      <c r="E49" s="187">
        <v>8.1513335910320811E-2</v>
      </c>
      <c r="F49" s="187">
        <v>0.11222780569514235</v>
      </c>
      <c r="G49" s="187">
        <v>1.9327406262079627E-2</v>
      </c>
      <c r="H49" s="187">
        <v>1.6106171885066357E-9</v>
      </c>
      <c r="I49" s="187">
        <v>1.6106171885066355E-8</v>
      </c>
      <c r="J49" s="187">
        <v>5.9592835974745515E-4</v>
      </c>
      <c r="K49" s="187">
        <v>0.14671110198428045</v>
      </c>
      <c r="L49" s="187">
        <v>1</v>
      </c>
      <c r="M49" s="188"/>
      <c r="N49" s="189">
        <v>5.5506366472721114E-2</v>
      </c>
      <c r="O49" s="206"/>
    </row>
    <row r="50" spans="1:15">
      <c r="A50" s="206"/>
      <c r="B50" s="186">
        <v>2008</v>
      </c>
      <c r="C50" s="187">
        <v>0.25792308655893775</v>
      </c>
      <c r="D50" s="187">
        <v>0.38693160465990228</v>
      </c>
      <c r="E50" s="187">
        <v>7.9215207315545544E-2</v>
      </c>
      <c r="F50" s="187">
        <v>0.1090113365902543</v>
      </c>
      <c r="G50" s="187">
        <v>1.958395966428661E-2</v>
      </c>
      <c r="H50" s="187">
        <v>1.1156520105223601E-3</v>
      </c>
      <c r="I50" s="187">
        <v>1.5658273831892774E-8</v>
      </c>
      <c r="J50" s="187">
        <v>1.5031942878617061E-3</v>
      </c>
      <c r="K50" s="187">
        <v>0.14471594325441561</v>
      </c>
      <c r="L50" s="187">
        <v>1</v>
      </c>
      <c r="M50" s="188"/>
      <c r="N50" s="189">
        <v>3.0827458107811179E-2</v>
      </c>
      <c r="O50" s="206"/>
    </row>
    <row r="51" spans="1:15">
      <c r="A51" s="206"/>
      <c r="B51" s="186">
        <v>2009</v>
      </c>
      <c r="C51" s="187">
        <v>0.26680190118009389</v>
      </c>
      <c r="D51" s="187">
        <v>0.36757862653064249</v>
      </c>
      <c r="E51" s="187">
        <v>8.3220743000133268E-2</v>
      </c>
      <c r="F51" s="187">
        <v>0.10841464678620609</v>
      </c>
      <c r="G51" s="187">
        <v>1.9026607637295113E-2</v>
      </c>
      <c r="H51" s="187">
        <v>7.1072153042036213E-4</v>
      </c>
      <c r="I51" s="187">
        <v>3.4189108192546305E-3</v>
      </c>
      <c r="J51" s="187">
        <v>4.2939425796230217E-4</v>
      </c>
      <c r="K51" s="187">
        <v>0.15039844825799192</v>
      </c>
      <c r="L51" s="187">
        <v>1</v>
      </c>
      <c r="M51" s="188"/>
      <c r="N51" s="189">
        <v>8.6936304189876523E-2</v>
      </c>
      <c r="O51" s="206"/>
    </row>
    <row r="52" spans="1:15">
      <c r="A52" s="206"/>
      <c r="B52" s="186">
        <v>2010</v>
      </c>
      <c r="C52" s="187">
        <v>0.27077075017488988</v>
      </c>
      <c r="D52" s="187">
        <v>0.36366543214956853</v>
      </c>
      <c r="E52" s="187">
        <v>8.8186082877247843E-2</v>
      </c>
      <c r="F52" s="187">
        <v>0.10293129226506452</v>
      </c>
      <c r="G52" s="187">
        <v>1.8065100201637787E-2</v>
      </c>
      <c r="H52" s="187">
        <v>6.3097540567603517E-4</v>
      </c>
      <c r="I52" s="187">
        <v>1.0283102204298861E-2</v>
      </c>
      <c r="J52" s="187">
        <v>3.703551294185424E-4</v>
      </c>
      <c r="K52" s="187">
        <v>0.14509690959219798</v>
      </c>
      <c r="L52" s="187">
        <v>1</v>
      </c>
      <c r="M52" s="188"/>
      <c r="N52" s="189">
        <v>6.0972022923555524E-2</v>
      </c>
      <c r="O52" s="206"/>
    </row>
    <row r="53" spans="1:15">
      <c r="A53" s="206"/>
      <c r="B53" s="186">
        <v>2011</v>
      </c>
      <c r="C53" s="187">
        <v>0.26987374554872123</v>
      </c>
      <c r="D53" s="187">
        <v>0.37286482874716731</v>
      </c>
      <c r="E53" s="187">
        <v>8.4573679507931349E-2</v>
      </c>
      <c r="F53" s="187">
        <v>9.9527355131110384E-2</v>
      </c>
      <c r="G53" s="187">
        <v>1.7623826481061828E-2</v>
      </c>
      <c r="H53" s="187">
        <v>6.0861120103593389E-4</v>
      </c>
      <c r="I53" s="187">
        <v>9.1979436710909676E-3</v>
      </c>
      <c r="J53" s="187">
        <v>3.4962771123340884E-4</v>
      </c>
      <c r="K53" s="187">
        <v>0.14538038200064754</v>
      </c>
      <c r="L53" s="187">
        <v>1</v>
      </c>
      <c r="M53" s="188"/>
      <c r="N53" s="189">
        <v>5.3813844086021412E-2</v>
      </c>
      <c r="O53" s="206"/>
    </row>
    <row r="54" spans="1:15">
      <c r="A54" s="206"/>
      <c r="B54" s="186">
        <v>2012</v>
      </c>
      <c r="C54" s="187">
        <v>0.25955285809670914</v>
      </c>
      <c r="D54" s="187">
        <v>0.37762330282868556</v>
      </c>
      <c r="E54" s="187">
        <v>8.3641195572187133E-2</v>
      </c>
      <c r="F54" s="187">
        <v>9.3347646232984388E-2</v>
      </c>
      <c r="G54" s="187">
        <v>1.6534550612457569E-2</v>
      </c>
      <c r="H54" s="187">
        <v>6.5686450232297342E-4</v>
      </c>
      <c r="I54" s="187">
        <v>9.2972968549020572E-3</v>
      </c>
      <c r="J54" s="187">
        <v>4.0447496026715609E-4</v>
      </c>
      <c r="K54" s="187">
        <v>0.15894181033948421</v>
      </c>
      <c r="L54" s="187">
        <v>1</v>
      </c>
      <c r="M54" s="188"/>
      <c r="N54" s="189">
        <v>7.7172647991964549E-2</v>
      </c>
      <c r="O54" s="206"/>
    </row>
    <row r="55" spans="1:15">
      <c r="A55" s="206"/>
      <c r="B55" s="193">
        <v>2013</v>
      </c>
      <c r="C55" s="194">
        <v>0.25056582074950712</v>
      </c>
      <c r="D55" s="194">
        <v>0.38257789824042426</v>
      </c>
      <c r="E55" s="194">
        <v>7.9981613831354256E-2</v>
      </c>
      <c r="F55" s="194">
        <v>9.0586077990353633E-2</v>
      </c>
      <c r="G55" s="194">
        <v>1.7163578174614284E-2</v>
      </c>
      <c r="H55" s="194">
        <v>1.3906612374988993E-3</v>
      </c>
      <c r="I55" s="194">
        <v>1.7225832596002383E-2</v>
      </c>
      <c r="J55" s="194">
        <v>5.9065610558273651E-4</v>
      </c>
      <c r="K55" s="194">
        <v>0.15991786107466247</v>
      </c>
      <c r="L55" s="194">
        <v>1</v>
      </c>
      <c r="M55" s="195"/>
      <c r="N55" s="196">
        <v>7.0683214980801212E-2</v>
      </c>
      <c r="O55" s="206"/>
    </row>
    <row r="56" spans="1:15">
      <c r="A56" s="206"/>
      <c r="B56" s="193">
        <v>2014</v>
      </c>
      <c r="C56" s="194">
        <v>0.2410833249933754</v>
      </c>
      <c r="D56" s="194">
        <v>0.38822853603154472</v>
      </c>
      <c r="E56" s="194">
        <v>7.7806894027223947E-2</v>
      </c>
      <c r="F56" s="194">
        <v>8.7936131581336632E-2</v>
      </c>
      <c r="G56" s="194">
        <v>1.6270365177529736E-2</v>
      </c>
      <c r="H56" s="194">
        <v>5.0845192000500733E-4</v>
      </c>
      <c r="I56" s="194">
        <v>2.2604615547237746E-2</v>
      </c>
      <c r="J56" s="194">
        <v>3.7172283777134671E-4</v>
      </c>
      <c r="K56" s="194">
        <v>0.16518995788397564</v>
      </c>
      <c r="L56" s="194">
        <v>1</v>
      </c>
      <c r="M56" s="195"/>
      <c r="N56" s="196">
        <v>7.6038989335301288E-2</v>
      </c>
      <c r="O56" s="206"/>
    </row>
    <row r="57" spans="1:15">
      <c r="A57" s="206"/>
      <c r="B57" s="193">
        <v>2015</v>
      </c>
      <c r="C57" s="194">
        <v>0.23255047664546596</v>
      </c>
      <c r="D57" s="194">
        <v>0.394888102594395</v>
      </c>
      <c r="E57" s="194">
        <v>7.6241368845307217E-2</v>
      </c>
      <c r="F57" s="194">
        <v>8.5724292265789259E-2</v>
      </c>
      <c r="G57" s="194">
        <v>1.6154727779343309E-2</v>
      </c>
      <c r="H57" s="194">
        <v>4.9978984763231313E-4</v>
      </c>
      <c r="I57" s="194">
        <v>2.1244089518016929E-2</v>
      </c>
      <c r="J57" s="194">
        <v>3.6908091416746106E-4</v>
      </c>
      <c r="K57" s="194">
        <v>0.17232807158988242</v>
      </c>
      <c r="L57" s="194">
        <v>1</v>
      </c>
      <c r="M57" s="195"/>
      <c r="N57" s="196">
        <v>7.1211254530358481E-2</v>
      </c>
      <c r="O57" s="206"/>
    </row>
    <row r="58" spans="1:15">
      <c r="A58" s="206"/>
      <c r="B58" s="193">
        <v>2016</v>
      </c>
      <c r="C58" s="194">
        <v>0.22358222029028249</v>
      </c>
      <c r="D58" s="194">
        <v>0.4003171726099396</v>
      </c>
      <c r="E58" s="194">
        <v>7.4670679975038123E-2</v>
      </c>
      <c r="F58" s="194">
        <v>8.3458820959873795E-2</v>
      </c>
      <c r="G58" s="194">
        <v>1.6003795330350522E-2</v>
      </c>
      <c r="H58" s="194">
        <v>4.9016914389129714E-4</v>
      </c>
      <c r="I58" s="194">
        <v>2.0545084973772276E-2</v>
      </c>
      <c r="J58" s="194">
        <v>3.6563261797747389E-4</v>
      </c>
      <c r="K58" s="194">
        <v>0.18056642409887455</v>
      </c>
      <c r="L58" s="194">
        <v>1</v>
      </c>
      <c r="M58" s="195"/>
      <c r="N58" s="196">
        <v>7.3759614081278624E-2</v>
      </c>
      <c r="O58" s="206"/>
    </row>
    <row r="59" spans="1:15">
      <c r="A59" s="206"/>
      <c r="B59" s="193">
        <v>2017</v>
      </c>
      <c r="C59" s="194">
        <v>0.21807876085873909</v>
      </c>
      <c r="D59" s="194">
        <v>0.41139308962050336</v>
      </c>
      <c r="E59" s="194">
        <v>7.42575416208857E-2</v>
      </c>
      <c r="F59" s="194">
        <v>8.2556892438664722E-2</v>
      </c>
      <c r="G59" s="194">
        <v>1.6090920512041137E-2</v>
      </c>
      <c r="H59" s="194">
        <v>4.8790926422832441E-4</v>
      </c>
      <c r="I59" s="194">
        <v>2.0171956955591274E-2</v>
      </c>
      <c r="J59" s="194">
        <v>3.6762313382797895E-4</v>
      </c>
      <c r="K59" s="194">
        <v>0.17659530559551836</v>
      </c>
      <c r="L59" s="194">
        <v>1</v>
      </c>
      <c r="M59" s="195"/>
      <c r="N59" s="196">
        <v>5.7770913053806661E-2</v>
      </c>
      <c r="O59" s="206"/>
    </row>
    <row r="60" spans="1:15">
      <c r="A60" s="206"/>
      <c r="B60" s="193">
        <v>2018</v>
      </c>
      <c r="C60" s="194">
        <v>0.21271920335931499</v>
      </c>
      <c r="D60" s="194">
        <v>0.42215048995856946</v>
      </c>
      <c r="E60" s="194">
        <v>7.3822288137791459E-2</v>
      </c>
      <c r="F60" s="194">
        <v>8.1747763256139444E-2</v>
      </c>
      <c r="G60" s="194">
        <v>1.6175918812034677E-2</v>
      </c>
      <c r="H60" s="194">
        <v>4.8558171880173185E-4</v>
      </c>
      <c r="I60" s="194">
        <v>1.9845436214742058E-2</v>
      </c>
      <c r="J60" s="194">
        <v>3.695650576222263E-4</v>
      </c>
      <c r="K60" s="194">
        <v>0.17268375348498383</v>
      </c>
      <c r="L60" s="194">
        <v>1</v>
      </c>
      <c r="M60" s="195"/>
      <c r="N60" s="196">
        <v>5.7150345667265734E-2</v>
      </c>
      <c r="O60" s="206"/>
    </row>
    <row r="61" spans="1:15">
      <c r="A61" s="206"/>
      <c r="B61" s="193">
        <v>2019</v>
      </c>
      <c r="C61" s="194">
        <v>0.20747807991582579</v>
      </c>
      <c r="D61" s="194">
        <v>0.43261176285093605</v>
      </c>
      <c r="E61" s="194">
        <v>7.3386362298573191E-2</v>
      </c>
      <c r="F61" s="194">
        <v>8.1021446810138023E-2</v>
      </c>
      <c r="G61" s="194">
        <v>1.6258961671740613E-2</v>
      </c>
      <c r="H61" s="194">
        <v>4.831938203804073E-4</v>
      </c>
      <c r="I61" s="194">
        <v>1.9554856579662088E-2</v>
      </c>
      <c r="J61" s="194">
        <v>3.7146230621681658E-4</v>
      </c>
      <c r="K61" s="194">
        <v>0.168833873746527</v>
      </c>
      <c r="L61" s="194">
        <v>1</v>
      </c>
      <c r="M61" s="195"/>
      <c r="N61" s="196">
        <v>5.6641441755078681E-2</v>
      </c>
      <c r="O61" s="206"/>
    </row>
    <row r="62" spans="1:15">
      <c r="A62" s="206"/>
      <c r="B62" s="193">
        <v>2020</v>
      </c>
      <c r="C62" s="194">
        <v>0.20115880030657632</v>
      </c>
      <c r="D62" s="194">
        <v>0.44020990677664595</v>
      </c>
      <c r="E62" s="194">
        <v>7.2529960394914217E-2</v>
      </c>
      <c r="F62" s="194">
        <v>7.9898150067884463E-2</v>
      </c>
      <c r="G62" s="194">
        <v>1.6244619478942558E-2</v>
      </c>
      <c r="H62" s="194">
        <v>4.7793991437325071E-4</v>
      </c>
      <c r="I62" s="194">
        <v>2.5027626011682437E-2</v>
      </c>
      <c r="J62" s="194">
        <v>3.7113463559918837E-4</v>
      </c>
      <c r="K62" s="194">
        <v>0.16408186241338163</v>
      </c>
      <c r="L62" s="194">
        <v>1</v>
      </c>
      <c r="M62" s="195"/>
      <c r="N62" s="196">
        <v>6.2458911413219909E-2</v>
      </c>
      <c r="O62" s="206"/>
    </row>
    <row r="63" spans="1:15">
      <c r="A63" s="206"/>
      <c r="B63" s="193">
        <v>2021</v>
      </c>
      <c r="C63" s="194">
        <v>0.19609090031350943</v>
      </c>
      <c r="D63" s="194">
        <v>0.45001444718909889</v>
      </c>
      <c r="E63" s="194">
        <v>7.2101967670447645E-2</v>
      </c>
      <c r="F63" s="194">
        <v>7.9304793021477402E-2</v>
      </c>
      <c r="G63" s="194">
        <v>1.6320650878294013E-2</v>
      </c>
      <c r="H63" s="194">
        <v>4.7537509810339769E-4</v>
      </c>
      <c r="I63" s="194">
        <v>2.4967590745818065E-2</v>
      </c>
      <c r="J63" s="194">
        <v>3.72871696028888E-4</v>
      </c>
      <c r="K63" s="194">
        <v>0.16035140338722226</v>
      </c>
      <c r="L63" s="194">
        <v>1</v>
      </c>
      <c r="M63" s="195"/>
      <c r="N63" s="196">
        <v>5.6055681191204298E-2</v>
      </c>
      <c r="O63" s="206"/>
    </row>
    <row r="64" spans="1:15">
      <c r="A64" s="206"/>
      <c r="B64" s="193">
        <v>2022</v>
      </c>
      <c r="C64" s="194">
        <v>0.19129103890288676</v>
      </c>
      <c r="D64" s="194">
        <v>0.45985034678497794</v>
      </c>
      <c r="E64" s="194">
        <v>7.1717948968037001E-2</v>
      </c>
      <c r="F64" s="194">
        <v>7.884210203232192E-2</v>
      </c>
      <c r="G64" s="194">
        <v>1.6406383203932048E-2</v>
      </c>
      <c r="H64" s="194">
        <v>4.7309351951821871E-4</v>
      </c>
      <c r="I64" s="194">
        <v>2.4249188134773298E-2</v>
      </c>
      <c r="J64" s="194">
        <v>3.7483038982753244E-4</v>
      </c>
      <c r="K64" s="194">
        <v>0.15679506806372517</v>
      </c>
      <c r="L64" s="194">
        <v>1</v>
      </c>
      <c r="M64" s="195"/>
      <c r="N64" s="196">
        <v>5.47136911781263E-2</v>
      </c>
      <c r="O64" s="206"/>
    </row>
    <row r="65" spans="1:15">
      <c r="A65" s="206"/>
      <c r="B65" s="193">
        <v>2023</v>
      </c>
      <c r="C65" s="194">
        <v>0.18661064088287183</v>
      </c>
      <c r="D65" s="194">
        <v>0.46933978054242914</v>
      </c>
      <c r="E65" s="194">
        <v>7.1315796158149813E-2</v>
      </c>
      <c r="F65" s="194">
        <v>7.8433266934960166E-2</v>
      </c>
      <c r="G65" s="194">
        <v>1.6488201074984724E-2</v>
      </c>
      <c r="H65" s="194">
        <v>4.7069828677821605E-4</v>
      </c>
      <c r="I65" s="194">
        <v>2.3687885907228083E-2</v>
      </c>
      <c r="J65" s="194">
        <v>3.7669965157281353E-4</v>
      </c>
      <c r="K65" s="194">
        <v>0.15327703056102529</v>
      </c>
      <c r="L65" s="194">
        <v>1</v>
      </c>
      <c r="M65" s="195"/>
      <c r="N65" s="196">
        <v>5.4172860304156023E-2</v>
      </c>
      <c r="O65" s="206"/>
    </row>
    <row r="66" spans="1:15">
      <c r="A66" s="206"/>
      <c r="B66" s="193">
        <v>2024</v>
      </c>
      <c r="C66" s="194">
        <v>0.18203261412954053</v>
      </c>
      <c r="D66" s="194">
        <v>0.47863994754354361</v>
      </c>
      <c r="E66" s="194">
        <v>7.0914846336776208E-2</v>
      </c>
      <c r="F66" s="194">
        <v>7.8072000000558167E-2</v>
      </c>
      <c r="G66" s="194">
        <v>1.6569238752223412E-2</v>
      </c>
      <c r="H66" s="194">
        <v>4.6828159941996763E-4</v>
      </c>
      <c r="I66" s="194">
        <v>2.3097337117165613E-2</v>
      </c>
      <c r="J66" s="194">
        <v>3.7855108852710912E-4</v>
      </c>
      <c r="K66" s="194">
        <v>0.14982718343224527</v>
      </c>
      <c r="L66" s="194">
        <v>1</v>
      </c>
      <c r="M66" s="195"/>
      <c r="N66" s="196">
        <v>5.3729969254455057E-2</v>
      </c>
      <c r="O66" s="206"/>
    </row>
    <row r="67" spans="1:15">
      <c r="A67" s="206"/>
      <c r="B67" s="193">
        <v>2025</v>
      </c>
      <c r="C67" s="194">
        <v>0.17761860988814976</v>
      </c>
      <c r="D67" s="194">
        <v>0.48774478671338894</v>
      </c>
      <c r="E67" s="194">
        <v>7.0550088623225357E-2</v>
      </c>
      <c r="F67" s="194">
        <v>7.7783838660400076E-2</v>
      </c>
      <c r="G67" s="194">
        <v>1.6651872501091292E-2</v>
      </c>
      <c r="H67" s="194">
        <v>4.6591083324398427E-4</v>
      </c>
      <c r="I67" s="194">
        <v>2.233893549080827E-2</v>
      </c>
      <c r="J67" s="194">
        <v>3.8043899032216383E-4</v>
      </c>
      <c r="K67" s="194">
        <v>0.14646551829937005</v>
      </c>
      <c r="L67" s="194">
        <v>1</v>
      </c>
      <c r="M67" s="195"/>
      <c r="N67" s="196">
        <v>5.2953193265992571E-2</v>
      </c>
      <c r="O67" s="206"/>
    </row>
    <row r="68" spans="1:15">
      <c r="A68" s="206"/>
      <c r="B68" s="193">
        <v>2026</v>
      </c>
      <c r="C68" s="194">
        <v>0.17217902711347111</v>
      </c>
      <c r="D68" s="194">
        <v>0.4935956380216559</v>
      </c>
      <c r="E68" s="194">
        <v>6.9755581163359087E-2</v>
      </c>
      <c r="F68" s="194">
        <v>7.7048115206084511E-2</v>
      </c>
      <c r="G68" s="194">
        <v>1.6628973545486776E-2</v>
      </c>
      <c r="H68" s="194">
        <v>4.6061743091424387E-4</v>
      </c>
      <c r="I68" s="194">
        <v>2.1467656248791513E-2</v>
      </c>
      <c r="J68" s="194">
        <v>3.7991582660294585E-4</v>
      </c>
      <c r="K68" s="194">
        <v>0.14848447544363388</v>
      </c>
      <c r="L68" s="194">
        <v>1</v>
      </c>
      <c r="M68" s="195"/>
      <c r="N68" s="196">
        <v>5.9293828852245545E-2</v>
      </c>
      <c r="O68" s="206"/>
    </row>
    <row r="69" spans="1:15">
      <c r="A69" s="206"/>
      <c r="B69" s="193">
        <v>2027</v>
      </c>
      <c r="C69" s="194">
        <v>0.16734391468623261</v>
      </c>
      <c r="D69" s="194">
        <v>0.50048941588006279</v>
      </c>
      <c r="E69" s="194">
        <v>6.9179256940552838E-2</v>
      </c>
      <c r="F69" s="194">
        <v>7.6575747796120711E-2</v>
      </c>
      <c r="G69" s="194">
        <v>1.6649642109124257E-2</v>
      </c>
      <c r="H69" s="194">
        <v>4.5657804430554303E-4</v>
      </c>
      <c r="I69" s="194">
        <v>2.0701712770480753E-2</v>
      </c>
      <c r="J69" s="194">
        <v>3.803880334061831E-4</v>
      </c>
      <c r="K69" s="194">
        <v>0.14822334373971449</v>
      </c>
      <c r="L69" s="194">
        <v>1</v>
      </c>
      <c r="M69" s="195"/>
      <c r="N69" s="196">
        <v>5.5970625529924822E-2</v>
      </c>
      <c r="O69" s="206"/>
    </row>
    <row r="70" spans="1:15" ht="13.5" thickBot="1">
      <c r="A70" s="206"/>
      <c r="B70" s="207"/>
      <c r="C70" s="207"/>
      <c r="D70" s="207"/>
      <c r="E70" s="207"/>
      <c r="F70" s="207"/>
      <c r="G70" s="207"/>
      <c r="H70" s="207"/>
      <c r="I70" s="207"/>
      <c r="J70" s="207"/>
      <c r="K70" s="207"/>
      <c r="L70" s="207"/>
      <c r="M70" s="207"/>
      <c r="N70" s="207"/>
      <c r="O70" s="206"/>
    </row>
    <row r="71" spans="1:15">
      <c r="A71" s="206"/>
      <c r="B71" s="206"/>
      <c r="C71" s="206"/>
      <c r="D71" s="206"/>
      <c r="E71" s="206"/>
      <c r="F71" s="206"/>
      <c r="G71" s="206"/>
      <c r="H71" s="206"/>
      <c r="I71" s="206"/>
      <c r="J71" s="206"/>
      <c r="K71" s="206"/>
      <c r="L71" s="206"/>
      <c r="M71" s="206"/>
      <c r="N71" s="206"/>
      <c r="O71" s="206"/>
    </row>
  </sheetData>
  <mergeCells count="2">
    <mergeCell ref="B6:N6"/>
    <mergeCell ref="B5:N5"/>
  </mergeCells>
  <pageMargins left="0.7" right="0.7" top="0.75" bottom="0.75" header="0.3" footer="0.3"/>
</worksheet>
</file>

<file path=xl/worksheets/sheet28.xml><?xml version="1.0" encoding="utf-8"?>
<worksheet xmlns="http://schemas.openxmlformats.org/spreadsheetml/2006/main" xmlns:r="http://schemas.openxmlformats.org/officeDocument/2006/relationships">
  <sheetPr>
    <pageSetUpPr fitToPage="1"/>
  </sheetPr>
  <dimension ref="A1:AH58"/>
  <sheetViews>
    <sheetView zoomScaleNormal="100" workbookViewId="0">
      <pane ySplit="6" topLeftCell="A7" activePane="bottomLeft" state="frozen"/>
      <selection pane="bottomLeft" activeCell="F24" sqref="F23:F24"/>
    </sheetView>
  </sheetViews>
  <sheetFormatPr baseColWidth="10" defaultRowHeight="12.75"/>
  <cols>
    <col min="1" max="1" width="24.28515625" style="238" customWidth="1"/>
    <col min="2" max="3" width="9.7109375" style="238" hidden="1" customWidth="1"/>
    <col min="4" max="19" width="9.7109375" style="238" customWidth="1"/>
    <col min="20" max="26" width="9.7109375" style="238" hidden="1" customWidth="1"/>
    <col min="27" max="27" width="16.7109375" style="238" bestFit="1" customWidth="1"/>
    <col min="28" max="256" width="11.42578125" style="238"/>
    <col min="257" max="257" width="24.28515625" style="238" customWidth="1"/>
    <col min="258" max="259" width="0" style="238" hidden="1" customWidth="1"/>
    <col min="260" max="275" width="9.7109375" style="238" customWidth="1"/>
    <col min="276" max="282" width="0" style="238" hidden="1" customWidth="1"/>
    <col min="283" max="283" width="16.7109375" style="238" bestFit="1" customWidth="1"/>
    <col min="284" max="512" width="11.42578125" style="238"/>
    <col min="513" max="513" width="24.28515625" style="238" customWidth="1"/>
    <col min="514" max="515" width="0" style="238" hidden="1" customWidth="1"/>
    <col min="516" max="531" width="9.7109375" style="238" customWidth="1"/>
    <col min="532" max="538" width="0" style="238" hidden="1" customWidth="1"/>
    <col min="539" max="539" width="16.7109375" style="238" bestFit="1" customWidth="1"/>
    <col min="540" max="768" width="11.42578125" style="238"/>
    <col min="769" max="769" width="24.28515625" style="238" customWidth="1"/>
    <col min="770" max="771" width="0" style="238" hidden="1" customWidth="1"/>
    <col min="772" max="787" width="9.7109375" style="238" customWidth="1"/>
    <col min="788" max="794" width="0" style="238" hidden="1" customWidth="1"/>
    <col min="795" max="795" width="16.7109375" style="238" bestFit="1" customWidth="1"/>
    <col min="796" max="1024" width="11.42578125" style="238"/>
    <col min="1025" max="1025" width="24.28515625" style="238" customWidth="1"/>
    <col min="1026" max="1027" width="0" style="238" hidden="1" customWidth="1"/>
    <col min="1028" max="1043" width="9.7109375" style="238" customWidth="1"/>
    <col min="1044" max="1050" width="0" style="238" hidden="1" customWidth="1"/>
    <col min="1051" max="1051" width="16.7109375" style="238" bestFit="1" customWidth="1"/>
    <col min="1052" max="1280" width="11.42578125" style="238"/>
    <col min="1281" max="1281" width="24.28515625" style="238" customWidth="1"/>
    <col min="1282" max="1283" width="0" style="238" hidden="1" customWidth="1"/>
    <col min="1284" max="1299" width="9.7109375" style="238" customWidth="1"/>
    <col min="1300" max="1306" width="0" style="238" hidden="1" customWidth="1"/>
    <col min="1307" max="1307" width="16.7109375" style="238" bestFit="1" customWidth="1"/>
    <col min="1308" max="1536" width="11.42578125" style="238"/>
    <col min="1537" max="1537" width="24.28515625" style="238" customWidth="1"/>
    <col min="1538" max="1539" width="0" style="238" hidden="1" customWidth="1"/>
    <col min="1540" max="1555" width="9.7109375" style="238" customWidth="1"/>
    <col min="1556" max="1562" width="0" style="238" hidden="1" customWidth="1"/>
    <col min="1563" max="1563" width="16.7109375" style="238" bestFit="1" customWidth="1"/>
    <col min="1564" max="1792" width="11.42578125" style="238"/>
    <col min="1793" max="1793" width="24.28515625" style="238" customWidth="1"/>
    <col min="1794" max="1795" width="0" style="238" hidden="1" customWidth="1"/>
    <col min="1796" max="1811" width="9.7109375" style="238" customWidth="1"/>
    <col min="1812" max="1818" width="0" style="238" hidden="1" customWidth="1"/>
    <col min="1819" max="1819" width="16.7109375" style="238" bestFit="1" customWidth="1"/>
    <col min="1820" max="2048" width="11.42578125" style="238"/>
    <col min="2049" max="2049" width="24.28515625" style="238" customWidth="1"/>
    <col min="2050" max="2051" width="0" style="238" hidden="1" customWidth="1"/>
    <col min="2052" max="2067" width="9.7109375" style="238" customWidth="1"/>
    <col min="2068" max="2074" width="0" style="238" hidden="1" customWidth="1"/>
    <col min="2075" max="2075" width="16.7109375" style="238" bestFit="1" customWidth="1"/>
    <col min="2076" max="2304" width="11.42578125" style="238"/>
    <col min="2305" max="2305" width="24.28515625" style="238" customWidth="1"/>
    <col min="2306" max="2307" width="0" style="238" hidden="1" customWidth="1"/>
    <col min="2308" max="2323" width="9.7109375" style="238" customWidth="1"/>
    <col min="2324" max="2330" width="0" style="238" hidden="1" customWidth="1"/>
    <col min="2331" max="2331" width="16.7109375" style="238" bestFit="1" customWidth="1"/>
    <col min="2332" max="2560" width="11.42578125" style="238"/>
    <col min="2561" max="2561" width="24.28515625" style="238" customWidth="1"/>
    <col min="2562" max="2563" width="0" style="238" hidden="1" customWidth="1"/>
    <col min="2564" max="2579" width="9.7109375" style="238" customWidth="1"/>
    <col min="2580" max="2586" width="0" style="238" hidden="1" customWidth="1"/>
    <col min="2587" max="2587" width="16.7109375" style="238" bestFit="1" customWidth="1"/>
    <col min="2588" max="2816" width="11.42578125" style="238"/>
    <col min="2817" max="2817" width="24.28515625" style="238" customWidth="1"/>
    <col min="2818" max="2819" width="0" style="238" hidden="1" customWidth="1"/>
    <col min="2820" max="2835" width="9.7109375" style="238" customWidth="1"/>
    <col min="2836" max="2842" width="0" style="238" hidden="1" customWidth="1"/>
    <col min="2843" max="2843" width="16.7109375" style="238" bestFit="1" customWidth="1"/>
    <col min="2844" max="3072" width="11.42578125" style="238"/>
    <col min="3073" max="3073" width="24.28515625" style="238" customWidth="1"/>
    <col min="3074" max="3075" width="0" style="238" hidden="1" customWidth="1"/>
    <col min="3076" max="3091" width="9.7109375" style="238" customWidth="1"/>
    <col min="3092" max="3098" width="0" style="238" hidden="1" customWidth="1"/>
    <col min="3099" max="3099" width="16.7109375" style="238" bestFit="1" customWidth="1"/>
    <col min="3100" max="3328" width="11.42578125" style="238"/>
    <col min="3329" max="3329" width="24.28515625" style="238" customWidth="1"/>
    <col min="3330" max="3331" width="0" style="238" hidden="1" customWidth="1"/>
    <col min="3332" max="3347" width="9.7109375" style="238" customWidth="1"/>
    <col min="3348" max="3354" width="0" style="238" hidden="1" customWidth="1"/>
    <col min="3355" max="3355" width="16.7109375" style="238" bestFit="1" customWidth="1"/>
    <col min="3356" max="3584" width="11.42578125" style="238"/>
    <col min="3585" max="3585" width="24.28515625" style="238" customWidth="1"/>
    <col min="3586" max="3587" width="0" style="238" hidden="1" customWidth="1"/>
    <col min="3588" max="3603" width="9.7109375" style="238" customWidth="1"/>
    <col min="3604" max="3610" width="0" style="238" hidden="1" customWidth="1"/>
    <col min="3611" max="3611" width="16.7109375" style="238" bestFit="1" customWidth="1"/>
    <col min="3612" max="3840" width="11.42578125" style="238"/>
    <col min="3841" max="3841" width="24.28515625" style="238" customWidth="1"/>
    <col min="3842" max="3843" width="0" style="238" hidden="1" customWidth="1"/>
    <col min="3844" max="3859" width="9.7109375" style="238" customWidth="1"/>
    <col min="3860" max="3866" width="0" style="238" hidden="1" customWidth="1"/>
    <col min="3867" max="3867" width="16.7109375" style="238" bestFit="1" customWidth="1"/>
    <col min="3868" max="4096" width="11.42578125" style="238"/>
    <col min="4097" max="4097" width="24.28515625" style="238" customWidth="1"/>
    <col min="4098" max="4099" width="0" style="238" hidden="1" customWidth="1"/>
    <col min="4100" max="4115" width="9.7109375" style="238" customWidth="1"/>
    <col min="4116" max="4122" width="0" style="238" hidden="1" customWidth="1"/>
    <col min="4123" max="4123" width="16.7109375" style="238" bestFit="1" customWidth="1"/>
    <col min="4124" max="4352" width="11.42578125" style="238"/>
    <col min="4353" max="4353" width="24.28515625" style="238" customWidth="1"/>
    <col min="4354" max="4355" width="0" style="238" hidden="1" customWidth="1"/>
    <col min="4356" max="4371" width="9.7109375" style="238" customWidth="1"/>
    <col min="4372" max="4378" width="0" style="238" hidden="1" customWidth="1"/>
    <col min="4379" max="4379" width="16.7109375" style="238" bestFit="1" customWidth="1"/>
    <col min="4380" max="4608" width="11.42578125" style="238"/>
    <col min="4609" max="4609" width="24.28515625" style="238" customWidth="1"/>
    <col min="4610" max="4611" width="0" style="238" hidden="1" customWidth="1"/>
    <col min="4612" max="4627" width="9.7109375" style="238" customWidth="1"/>
    <col min="4628" max="4634" width="0" style="238" hidden="1" customWidth="1"/>
    <col min="4635" max="4635" width="16.7109375" style="238" bestFit="1" customWidth="1"/>
    <col min="4636" max="4864" width="11.42578125" style="238"/>
    <col min="4865" max="4865" width="24.28515625" style="238" customWidth="1"/>
    <col min="4866" max="4867" width="0" style="238" hidden="1" customWidth="1"/>
    <col min="4868" max="4883" width="9.7109375" style="238" customWidth="1"/>
    <col min="4884" max="4890" width="0" style="238" hidden="1" customWidth="1"/>
    <col min="4891" max="4891" width="16.7109375" style="238" bestFit="1" customWidth="1"/>
    <col min="4892" max="5120" width="11.42578125" style="238"/>
    <col min="5121" max="5121" width="24.28515625" style="238" customWidth="1"/>
    <col min="5122" max="5123" width="0" style="238" hidden="1" customWidth="1"/>
    <col min="5124" max="5139" width="9.7109375" style="238" customWidth="1"/>
    <col min="5140" max="5146" width="0" style="238" hidden="1" customWidth="1"/>
    <col min="5147" max="5147" width="16.7109375" style="238" bestFit="1" customWidth="1"/>
    <col min="5148" max="5376" width="11.42578125" style="238"/>
    <col min="5377" max="5377" width="24.28515625" style="238" customWidth="1"/>
    <col min="5378" max="5379" width="0" style="238" hidden="1" customWidth="1"/>
    <col min="5380" max="5395" width="9.7109375" style="238" customWidth="1"/>
    <col min="5396" max="5402" width="0" style="238" hidden="1" customWidth="1"/>
    <col min="5403" max="5403" width="16.7109375" style="238" bestFit="1" customWidth="1"/>
    <col min="5404" max="5632" width="11.42578125" style="238"/>
    <col min="5633" max="5633" width="24.28515625" style="238" customWidth="1"/>
    <col min="5634" max="5635" width="0" style="238" hidden="1" customWidth="1"/>
    <col min="5636" max="5651" width="9.7109375" style="238" customWidth="1"/>
    <col min="5652" max="5658" width="0" style="238" hidden="1" customWidth="1"/>
    <col min="5659" max="5659" width="16.7109375" style="238" bestFit="1" customWidth="1"/>
    <col min="5660" max="5888" width="11.42578125" style="238"/>
    <col min="5889" max="5889" width="24.28515625" style="238" customWidth="1"/>
    <col min="5890" max="5891" width="0" style="238" hidden="1" customWidth="1"/>
    <col min="5892" max="5907" width="9.7109375" style="238" customWidth="1"/>
    <col min="5908" max="5914" width="0" style="238" hidden="1" customWidth="1"/>
    <col min="5915" max="5915" width="16.7109375" style="238" bestFit="1" customWidth="1"/>
    <col min="5916" max="6144" width="11.42578125" style="238"/>
    <col min="6145" max="6145" width="24.28515625" style="238" customWidth="1"/>
    <col min="6146" max="6147" width="0" style="238" hidden="1" customWidth="1"/>
    <col min="6148" max="6163" width="9.7109375" style="238" customWidth="1"/>
    <col min="6164" max="6170" width="0" style="238" hidden="1" customWidth="1"/>
    <col min="6171" max="6171" width="16.7109375" style="238" bestFit="1" customWidth="1"/>
    <col min="6172" max="6400" width="11.42578125" style="238"/>
    <col min="6401" max="6401" width="24.28515625" style="238" customWidth="1"/>
    <col min="6402" max="6403" width="0" style="238" hidden="1" customWidth="1"/>
    <col min="6404" max="6419" width="9.7109375" style="238" customWidth="1"/>
    <col min="6420" max="6426" width="0" style="238" hidden="1" customWidth="1"/>
    <col min="6427" max="6427" width="16.7109375" style="238" bestFit="1" customWidth="1"/>
    <col min="6428" max="6656" width="11.42578125" style="238"/>
    <col min="6657" max="6657" width="24.28515625" style="238" customWidth="1"/>
    <col min="6658" max="6659" width="0" style="238" hidden="1" customWidth="1"/>
    <col min="6660" max="6675" width="9.7109375" style="238" customWidth="1"/>
    <col min="6676" max="6682" width="0" style="238" hidden="1" customWidth="1"/>
    <col min="6683" max="6683" width="16.7109375" style="238" bestFit="1" customWidth="1"/>
    <col min="6684" max="6912" width="11.42578125" style="238"/>
    <col min="6913" max="6913" width="24.28515625" style="238" customWidth="1"/>
    <col min="6914" max="6915" width="0" style="238" hidden="1" customWidth="1"/>
    <col min="6916" max="6931" width="9.7109375" style="238" customWidth="1"/>
    <col min="6932" max="6938" width="0" style="238" hidden="1" customWidth="1"/>
    <col min="6939" max="6939" width="16.7109375" style="238" bestFit="1" customWidth="1"/>
    <col min="6940" max="7168" width="11.42578125" style="238"/>
    <col min="7169" max="7169" width="24.28515625" style="238" customWidth="1"/>
    <col min="7170" max="7171" width="0" style="238" hidden="1" customWidth="1"/>
    <col min="7172" max="7187" width="9.7109375" style="238" customWidth="1"/>
    <col min="7188" max="7194" width="0" style="238" hidden="1" customWidth="1"/>
    <col min="7195" max="7195" width="16.7109375" style="238" bestFit="1" customWidth="1"/>
    <col min="7196" max="7424" width="11.42578125" style="238"/>
    <col min="7425" max="7425" width="24.28515625" style="238" customWidth="1"/>
    <col min="7426" max="7427" width="0" style="238" hidden="1" customWidth="1"/>
    <col min="7428" max="7443" width="9.7109375" style="238" customWidth="1"/>
    <col min="7444" max="7450" width="0" style="238" hidden="1" customWidth="1"/>
    <col min="7451" max="7451" width="16.7109375" style="238" bestFit="1" customWidth="1"/>
    <col min="7452" max="7680" width="11.42578125" style="238"/>
    <col min="7681" max="7681" width="24.28515625" style="238" customWidth="1"/>
    <col min="7682" max="7683" width="0" style="238" hidden="1" customWidth="1"/>
    <col min="7684" max="7699" width="9.7109375" style="238" customWidth="1"/>
    <col min="7700" max="7706" width="0" style="238" hidden="1" customWidth="1"/>
    <col min="7707" max="7707" width="16.7109375" style="238" bestFit="1" customWidth="1"/>
    <col min="7708" max="7936" width="11.42578125" style="238"/>
    <col min="7937" max="7937" width="24.28515625" style="238" customWidth="1"/>
    <col min="7938" max="7939" width="0" style="238" hidden="1" customWidth="1"/>
    <col min="7940" max="7955" width="9.7109375" style="238" customWidth="1"/>
    <col min="7956" max="7962" width="0" style="238" hidden="1" customWidth="1"/>
    <col min="7963" max="7963" width="16.7109375" style="238" bestFit="1" customWidth="1"/>
    <col min="7964" max="8192" width="11.42578125" style="238"/>
    <col min="8193" max="8193" width="24.28515625" style="238" customWidth="1"/>
    <col min="8194" max="8195" width="0" style="238" hidden="1" customWidth="1"/>
    <col min="8196" max="8211" width="9.7109375" style="238" customWidth="1"/>
    <col min="8212" max="8218" width="0" style="238" hidden="1" customWidth="1"/>
    <col min="8219" max="8219" width="16.7109375" style="238" bestFit="1" customWidth="1"/>
    <col min="8220" max="8448" width="11.42578125" style="238"/>
    <col min="8449" max="8449" width="24.28515625" style="238" customWidth="1"/>
    <col min="8450" max="8451" width="0" style="238" hidden="1" customWidth="1"/>
    <col min="8452" max="8467" width="9.7109375" style="238" customWidth="1"/>
    <col min="8468" max="8474" width="0" style="238" hidden="1" customWidth="1"/>
    <col min="8475" max="8475" width="16.7109375" style="238" bestFit="1" customWidth="1"/>
    <col min="8476" max="8704" width="11.42578125" style="238"/>
    <col min="8705" max="8705" width="24.28515625" style="238" customWidth="1"/>
    <col min="8706" max="8707" width="0" style="238" hidden="1" customWidth="1"/>
    <col min="8708" max="8723" width="9.7109375" style="238" customWidth="1"/>
    <col min="8724" max="8730" width="0" style="238" hidden="1" customWidth="1"/>
    <col min="8731" max="8731" width="16.7109375" style="238" bestFit="1" customWidth="1"/>
    <col min="8732" max="8960" width="11.42578125" style="238"/>
    <col min="8961" max="8961" width="24.28515625" style="238" customWidth="1"/>
    <col min="8962" max="8963" width="0" style="238" hidden="1" customWidth="1"/>
    <col min="8964" max="8979" width="9.7109375" style="238" customWidth="1"/>
    <col min="8980" max="8986" width="0" style="238" hidden="1" customWidth="1"/>
    <col min="8987" max="8987" width="16.7109375" style="238" bestFit="1" customWidth="1"/>
    <col min="8988" max="9216" width="11.42578125" style="238"/>
    <col min="9217" max="9217" width="24.28515625" style="238" customWidth="1"/>
    <col min="9218" max="9219" width="0" style="238" hidden="1" customWidth="1"/>
    <col min="9220" max="9235" width="9.7109375" style="238" customWidth="1"/>
    <col min="9236" max="9242" width="0" style="238" hidden="1" customWidth="1"/>
    <col min="9243" max="9243" width="16.7109375" style="238" bestFit="1" customWidth="1"/>
    <col min="9244" max="9472" width="11.42578125" style="238"/>
    <col min="9473" max="9473" width="24.28515625" style="238" customWidth="1"/>
    <col min="9474" max="9475" width="0" style="238" hidden="1" customWidth="1"/>
    <col min="9476" max="9491" width="9.7109375" style="238" customWidth="1"/>
    <col min="9492" max="9498" width="0" style="238" hidden="1" customWidth="1"/>
    <col min="9499" max="9499" width="16.7109375" style="238" bestFit="1" customWidth="1"/>
    <col min="9500" max="9728" width="11.42578125" style="238"/>
    <col min="9729" max="9729" width="24.28515625" style="238" customWidth="1"/>
    <col min="9730" max="9731" width="0" style="238" hidden="1" customWidth="1"/>
    <col min="9732" max="9747" width="9.7109375" style="238" customWidth="1"/>
    <col min="9748" max="9754" width="0" style="238" hidden="1" customWidth="1"/>
    <col min="9755" max="9755" width="16.7109375" style="238" bestFit="1" customWidth="1"/>
    <col min="9756" max="9984" width="11.42578125" style="238"/>
    <col min="9985" max="9985" width="24.28515625" style="238" customWidth="1"/>
    <col min="9986" max="9987" width="0" style="238" hidden="1" customWidth="1"/>
    <col min="9988" max="10003" width="9.7109375" style="238" customWidth="1"/>
    <col min="10004" max="10010" width="0" style="238" hidden="1" customWidth="1"/>
    <col min="10011" max="10011" width="16.7109375" style="238" bestFit="1" customWidth="1"/>
    <col min="10012" max="10240" width="11.42578125" style="238"/>
    <col min="10241" max="10241" width="24.28515625" style="238" customWidth="1"/>
    <col min="10242" max="10243" width="0" style="238" hidden="1" customWidth="1"/>
    <col min="10244" max="10259" width="9.7109375" style="238" customWidth="1"/>
    <col min="10260" max="10266" width="0" style="238" hidden="1" customWidth="1"/>
    <col min="10267" max="10267" width="16.7109375" style="238" bestFit="1" customWidth="1"/>
    <col min="10268" max="10496" width="11.42578125" style="238"/>
    <col min="10497" max="10497" width="24.28515625" style="238" customWidth="1"/>
    <col min="10498" max="10499" width="0" style="238" hidden="1" customWidth="1"/>
    <col min="10500" max="10515" width="9.7109375" style="238" customWidth="1"/>
    <col min="10516" max="10522" width="0" style="238" hidden="1" customWidth="1"/>
    <col min="10523" max="10523" width="16.7109375" style="238" bestFit="1" customWidth="1"/>
    <col min="10524" max="10752" width="11.42578125" style="238"/>
    <col min="10753" max="10753" width="24.28515625" style="238" customWidth="1"/>
    <col min="10754" max="10755" width="0" style="238" hidden="1" customWidth="1"/>
    <col min="10756" max="10771" width="9.7109375" style="238" customWidth="1"/>
    <col min="10772" max="10778" width="0" style="238" hidden="1" customWidth="1"/>
    <col min="10779" max="10779" width="16.7109375" style="238" bestFit="1" customWidth="1"/>
    <col min="10780" max="11008" width="11.42578125" style="238"/>
    <col min="11009" max="11009" width="24.28515625" style="238" customWidth="1"/>
    <col min="11010" max="11011" width="0" style="238" hidden="1" customWidth="1"/>
    <col min="11012" max="11027" width="9.7109375" style="238" customWidth="1"/>
    <col min="11028" max="11034" width="0" style="238" hidden="1" customWidth="1"/>
    <col min="11035" max="11035" width="16.7109375" style="238" bestFit="1" customWidth="1"/>
    <col min="11036" max="11264" width="11.42578125" style="238"/>
    <col min="11265" max="11265" width="24.28515625" style="238" customWidth="1"/>
    <col min="11266" max="11267" width="0" style="238" hidden="1" customWidth="1"/>
    <col min="11268" max="11283" width="9.7109375" style="238" customWidth="1"/>
    <col min="11284" max="11290" width="0" style="238" hidden="1" customWidth="1"/>
    <col min="11291" max="11291" width="16.7109375" style="238" bestFit="1" customWidth="1"/>
    <col min="11292" max="11520" width="11.42578125" style="238"/>
    <col min="11521" max="11521" width="24.28515625" style="238" customWidth="1"/>
    <col min="11522" max="11523" width="0" style="238" hidden="1" customWidth="1"/>
    <col min="11524" max="11539" width="9.7109375" style="238" customWidth="1"/>
    <col min="11540" max="11546" width="0" style="238" hidden="1" customWidth="1"/>
    <col min="11547" max="11547" width="16.7109375" style="238" bestFit="1" customWidth="1"/>
    <col min="11548" max="11776" width="11.42578125" style="238"/>
    <col min="11777" max="11777" width="24.28515625" style="238" customWidth="1"/>
    <col min="11778" max="11779" width="0" style="238" hidden="1" customWidth="1"/>
    <col min="11780" max="11795" width="9.7109375" style="238" customWidth="1"/>
    <col min="11796" max="11802" width="0" style="238" hidden="1" customWidth="1"/>
    <col min="11803" max="11803" width="16.7109375" style="238" bestFit="1" customWidth="1"/>
    <col min="11804" max="12032" width="11.42578125" style="238"/>
    <col min="12033" max="12033" width="24.28515625" style="238" customWidth="1"/>
    <col min="12034" max="12035" width="0" style="238" hidden="1" customWidth="1"/>
    <col min="12036" max="12051" width="9.7109375" style="238" customWidth="1"/>
    <col min="12052" max="12058" width="0" style="238" hidden="1" customWidth="1"/>
    <col min="12059" max="12059" width="16.7109375" style="238" bestFit="1" customWidth="1"/>
    <col min="12060" max="12288" width="11.42578125" style="238"/>
    <col min="12289" max="12289" width="24.28515625" style="238" customWidth="1"/>
    <col min="12290" max="12291" width="0" style="238" hidden="1" customWidth="1"/>
    <col min="12292" max="12307" width="9.7109375" style="238" customWidth="1"/>
    <col min="12308" max="12314" width="0" style="238" hidden="1" customWidth="1"/>
    <col min="12315" max="12315" width="16.7109375" style="238" bestFit="1" customWidth="1"/>
    <col min="12316" max="12544" width="11.42578125" style="238"/>
    <col min="12545" max="12545" width="24.28515625" style="238" customWidth="1"/>
    <col min="12546" max="12547" width="0" style="238" hidden="1" customWidth="1"/>
    <col min="12548" max="12563" width="9.7109375" style="238" customWidth="1"/>
    <col min="12564" max="12570" width="0" style="238" hidden="1" customWidth="1"/>
    <col min="12571" max="12571" width="16.7109375" style="238" bestFit="1" customWidth="1"/>
    <col min="12572" max="12800" width="11.42578125" style="238"/>
    <col min="12801" max="12801" width="24.28515625" style="238" customWidth="1"/>
    <col min="12802" max="12803" width="0" style="238" hidden="1" customWidth="1"/>
    <col min="12804" max="12819" width="9.7109375" style="238" customWidth="1"/>
    <col min="12820" max="12826" width="0" style="238" hidden="1" customWidth="1"/>
    <col min="12827" max="12827" width="16.7109375" style="238" bestFit="1" customWidth="1"/>
    <col min="12828" max="13056" width="11.42578125" style="238"/>
    <col min="13057" max="13057" width="24.28515625" style="238" customWidth="1"/>
    <col min="13058" max="13059" width="0" style="238" hidden="1" customWidth="1"/>
    <col min="13060" max="13075" width="9.7109375" style="238" customWidth="1"/>
    <col min="13076" max="13082" width="0" style="238" hidden="1" customWidth="1"/>
    <col min="13083" max="13083" width="16.7109375" style="238" bestFit="1" customWidth="1"/>
    <col min="13084" max="13312" width="11.42578125" style="238"/>
    <col min="13313" max="13313" width="24.28515625" style="238" customWidth="1"/>
    <col min="13314" max="13315" width="0" style="238" hidden="1" customWidth="1"/>
    <col min="13316" max="13331" width="9.7109375" style="238" customWidth="1"/>
    <col min="13332" max="13338" width="0" style="238" hidden="1" customWidth="1"/>
    <col min="13339" max="13339" width="16.7109375" style="238" bestFit="1" customWidth="1"/>
    <col min="13340" max="13568" width="11.42578125" style="238"/>
    <col min="13569" max="13569" width="24.28515625" style="238" customWidth="1"/>
    <col min="13570" max="13571" width="0" style="238" hidden="1" customWidth="1"/>
    <col min="13572" max="13587" width="9.7109375" style="238" customWidth="1"/>
    <col min="13588" max="13594" width="0" style="238" hidden="1" customWidth="1"/>
    <col min="13595" max="13595" width="16.7109375" style="238" bestFit="1" customWidth="1"/>
    <col min="13596" max="13824" width="11.42578125" style="238"/>
    <col min="13825" max="13825" width="24.28515625" style="238" customWidth="1"/>
    <col min="13826" max="13827" width="0" style="238" hidden="1" customWidth="1"/>
    <col min="13828" max="13843" width="9.7109375" style="238" customWidth="1"/>
    <col min="13844" max="13850" width="0" style="238" hidden="1" customWidth="1"/>
    <col min="13851" max="13851" width="16.7109375" style="238" bestFit="1" customWidth="1"/>
    <col min="13852" max="14080" width="11.42578125" style="238"/>
    <col min="14081" max="14081" width="24.28515625" style="238" customWidth="1"/>
    <col min="14082" max="14083" width="0" style="238" hidden="1" customWidth="1"/>
    <col min="14084" max="14099" width="9.7109375" style="238" customWidth="1"/>
    <col min="14100" max="14106" width="0" style="238" hidden="1" customWidth="1"/>
    <col min="14107" max="14107" width="16.7109375" style="238" bestFit="1" customWidth="1"/>
    <col min="14108" max="14336" width="11.42578125" style="238"/>
    <col min="14337" max="14337" width="24.28515625" style="238" customWidth="1"/>
    <col min="14338" max="14339" width="0" style="238" hidden="1" customWidth="1"/>
    <col min="14340" max="14355" width="9.7109375" style="238" customWidth="1"/>
    <col min="14356" max="14362" width="0" style="238" hidden="1" customWidth="1"/>
    <col min="14363" max="14363" width="16.7109375" style="238" bestFit="1" customWidth="1"/>
    <col min="14364" max="14592" width="11.42578125" style="238"/>
    <col min="14593" max="14593" width="24.28515625" style="238" customWidth="1"/>
    <col min="14594" max="14595" width="0" style="238" hidden="1" customWidth="1"/>
    <col min="14596" max="14611" width="9.7109375" style="238" customWidth="1"/>
    <col min="14612" max="14618" width="0" style="238" hidden="1" customWidth="1"/>
    <col min="14619" max="14619" width="16.7109375" style="238" bestFit="1" customWidth="1"/>
    <col min="14620" max="14848" width="11.42578125" style="238"/>
    <col min="14849" max="14849" width="24.28515625" style="238" customWidth="1"/>
    <col min="14850" max="14851" width="0" style="238" hidden="1" customWidth="1"/>
    <col min="14852" max="14867" width="9.7109375" style="238" customWidth="1"/>
    <col min="14868" max="14874" width="0" style="238" hidden="1" customWidth="1"/>
    <col min="14875" max="14875" width="16.7109375" style="238" bestFit="1" customWidth="1"/>
    <col min="14876" max="15104" width="11.42578125" style="238"/>
    <col min="15105" max="15105" width="24.28515625" style="238" customWidth="1"/>
    <col min="15106" max="15107" width="0" style="238" hidden="1" customWidth="1"/>
    <col min="15108" max="15123" width="9.7109375" style="238" customWidth="1"/>
    <col min="15124" max="15130" width="0" style="238" hidden="1" customWidth="1"/>
    <col min="15131" max="15131" width="16.7109375" style="238" bestFit="1" customWidth="1"/>
    <col min="15132" max="15360" width="11.42578125" style="238"/>
    <col min="15361" max="15361" width="24.28515625" style="238" customWidth="1"/>
    <col min="15362" max="15363" width="0" style="238" hidden="1" customWidth="1"/>
    <col min="15364" max="15379" width="9.7109375" style="238" customWidth="1"/>
    <col min="15380" max="15386" width="0" style="238" hidden="1" customWidth="1"/>
    <col min="15387" max="15387" width="16.7109375" style="238" bestFit="1" customWidth="1"/>
    <col min="15388" max="15616" width="11.42578125" style="238"/>
    <col min="15617" max="15617" width="24.28515625" style="238" customWidth="1"/>
    <col min="15618" max="15619" width="0" style="238" hidden="1" customWidth="1"/>
    <col min="15620" max="15635" width="9.7109375" style="238" customWidth="1"/>
    <col min="15636" max="15642" width="0" style="238" hidden="1" customWidth="1"/>
    <col min="15643" max="15643" width="16.7109375" style="238" bestFit="1" customWidth="1"/>
    <col min="15644" max="15872" width="11.42578125" style="238"/>
    <col min="15873" max="15873" width="24.28515625" style="238" customWidth="1"/>
    <col min="15874" max="15875" width="0" style="238" hidden="1" customWidth="1"/>
    <col min="15876" max="15891" width="9.7109375" style="238" customWidth="1"/>
    <col min="15892" max="15898" width="0" style="238" hidden="1" customWidth="1"/>
    <col min="15899" max="15899" width="16.7109375" style="238" bestFit="1" customWidth="1"/>
    <col min="15900" max="16128" width="11.42578125" style="238"/>
    <col min="16129" max="16129" width="24.28515625" style="238" customWidth="1"/>
    <col min="16130" max="16131" width="0" style="238" hidden="1" customWidth="1"/>
    <col min="16132" max="16147" width="9.7109375" style="238" customWidth="1"/>
    <col min="16148" max="16154" width="0" style="238" hidden="1" customWidth="1"/>
    <col min="16155" max="16155" width="16.7109375" style="238" bestFit="1" customWidth="1"/>
    <col min="16156" max="16384" width="11.42578125" style="238"/>
  </cols>
  <sheetData>
    <row r="1" spans="1:34" ht="15.75">
      <c r="A1" s="205" t="s">
        <v>370</v>
      </c>
    </row>
    <row r="2" spans="1:34" ht="15.75">
      <c r="A2" s="208" t="s">
        <v>292</v>
      </c>
    </row>
    <row r="3" spans="1:34" ht="16.5" thickBot="1">
      <c r="A3" s="208" t="s">
        <v>295</v>
      </c>
    </row>
    <row r="4" spans="1:34" ht="13.5" thickBot="1">
      <c r="A4" s="1500" t="s">
        <v>354</v>
      </c>
      <c r="B4" s="1501"/>
      <c r="C4" s="1501"/>
      <c r="D4" s="1501"/>
      <c r="E4" s="1501"/>
      <c r="F4" s="1501"/>
      <c r="G4" s="1501"/>
      <c r="H4" s="1501"/>
      <c r="I4" s="1501"/>
      <c r="J4" s="1501"/>
      <c r="K4" s="1501"/>
      <c r="L4" s="1501"/>
      <c r="M4" s="1501"/>
      <c r="N4" s="1501"/>
      <c r="O4" s="1501"/>
      <c r="P4" s="1501"/>
      <c r="Q4" s="1501"/>
      <c r="R4" s="1501"/>
      <c r="S4" s="1501"/>
      <c r="T4" s="1501"/>
      <c r="U4" s="1501"/>
      <c r="V4" s="1501"/>
      <c r="W4" s="1501"/>
      <c r="X4" s="1501"/>
      <c r="Y4" s="1501"/>
      <c r="Z4" s="1502"/>
    </row>
    <row r="5" spans="1:34" ht="13.5" thickBot="1"/>
    <row r="6" spans="1:34" ht="13.5" thickBot="1">
      <c r="A6" s="342"/>
      <c r="B6" s="343">
        <v>2008</v>
      </c>
      <c r="C6" s="343">
        <f t="shared" ref="C6:Z6" si="0">+B6+1</f>
        <v>2009</v>
      </c>
      <c r="D6" s="343">
        <f t="shared" si="0"/>
        <v>2010</v>
      </c>
      <c r="E6" s="343">
        <f t="shared" si="0"/>
        <v>2011</v>
      </c>
      <c r="F6" s="343">
        <f t="shared" si="0"/>
        <v>2012</v>
      </c>
      <c r="G6" s="343">
        <f t="shared" si="0"/>
        <v>2013</v>
      </c>
      <c r="H6" s="343">
        <f t="shared" si="0"/>
        <v>2014</v>
      </c>
      <c r="I6" s="343">
        <f t="shared" si="0"/>
        <v>2015</v>
      </c>
      <c r="J6" s="343">
        <f t="shared" si="0"/>
        <v>2016</v>
      </c>
      <c r="K6" s="343">
        <f t="shared" si="0"/>
        <v>2017</v>
      </c>
      <c r="L6" s="343">
        <f t="shared" si="0"/>
        <v>2018</v>
      </c>
      <c r="M6" s="343">
        <f t="shared" si="0"/>
        <v>2019</v>
      </c>
      <c r="N6" s="343">
        <f t="shared" si="0"/>
        <v>2020</v>
      </c>
      <c r="O6" s="343">
        <f t="shared" si="0"/>
        <v>2021</v>
      </c>
      <c r="P6" s="343">
        <f t="shared" si="0"/>
        <v>2022</v>
      </c>
      <c r="Q6" s="343">
        <f t="shared" si="0"/>
        <v>2023</v>
      </c>
      <c r="R6" s="343">
        <f t="shared" si="0"/>
        <v>2024</v>
      </c>
      <c r="S6" s="343">
        <f t="shared" si="0"/>
        <v>2025</v>
      </c>
      <c r="T6" s="343">
        <f t="shared" si="0"/>
        <v>2026</v>
      </c>
      <c r="U6" s="343">
        <f t="shared" si="0"/>
        <v>2027</v>
      </c>
      <c r="V6" s="343">
        <f t="shared" si="0"/>
        <v>2028</v>
      </c>
      <c r="W6" s="343">
        <f t="shared" si="0"/>
        <v>2029</v>
      </c>
      <c r="X6" s="343">
        <f t="shared" si="0"/>
        <v>2030</v>
      </c>
      <c r="Y6" s="343">
        <f t="shared" si="0"/>
        <v>2031</v>
      </c>
      <c r="Z6" s="343">
        <f t="shared" si="0"/>
        <v>2032</v>
      </c>
      <c r="AA6" s="344"/>
      <c r="AB6" s="344"/>
      <c r="AC6" s="344"/>
      <c r="AD6" s="344"/>
      <c r="AE6" s="344"/>
      <c r="AF6" s="344"/>
      <c r="AG6" s="344"/>
      <c r="AH6" s="344"/>
    </row>
    <row r="7" spans="1:34" ht="13.5" thickBot="1">
      <c r="A7" s="302"/>
      <c r="B7" s="345"/>
      <c r="C7" s="344"/>
      <c r="D7" s="345"/>
      <c r="E7" s="344"/>
      <c r="F7" s="345"/>
      <c r="G7" s="344"/>
      <c r="H7" s="345"/>
      <c r="I7" s="344"/>
      <c r="J7" s="345"/>
      <c r="K7" s="344"/>
      <c r="L7" s="345"/>
      <c r="M7" s="344"/>
      <c r="N7" s="345"/>
      <c r="O7" s="287"/>
      <c r="P7" s="302"/>
      <c r="Q7" s="302"/>
      <c r="R7" s="302"/>
      <c r="S7" s="247"/>
      <c r="T7" s="247"/>
      <c r="U7" s="247"/>
      <c r="V7" s="247"/>
      <c r="W7" s="247"/>
      <c r="X7" s="247"/>
      <c r="Y7" s="247"/>
      <c r="Z7" s="247"/>
    </row>
    <row r="8" spans="1:34">
      <c r="A8" s="346" t="s">
        <v>355</v>
      </c>
      <c r="B8" s="347"/>
      <c r="C8" s="348"/>
      <c r="D8" s="347"/>
      <c r="E8" s="348"/>
      <c r="F8" s="347"/>
      <c r="G8" s="348"/>
      <c r="H8" s="347"/>
      <c r="I8" s="348"/>
      <c r="J8" s="347"/>
      <c r="K8" s="348"/>
      <c r="L8" s="347"/>
      <c r="M8" s="348"/>
      <c r="N8" s="347"/>
      <c r="O8" s="246"/>
      <c r="P8" s="349"/>
      <c r="Q8" s="347"/>
      <c r="R8" s="347"/>
      <c r="S8" s="347"/>
      <c r="T8" s="347"/>
      <c r="U8" s="347"/>
      <c r="V8" s="347"/>
      <c r="W8" s="347"/>
      <c r="X8" s="347"/>
      <c r="Y8" s="347"/>
      <c r="Z8" s="350"/>
      <c r="AA8" s="238">
        <v>1.0569461767702253</v>
      </c>
    </row>
    <row r="9" spans="1:34">
      <c r="A9" s="351" t="s">
        <v>126</v>
      </c>
      <c r="B9" s="352">
        <f>+B$41/'[8]Pron. 2008'!B$38*'[8]Pron. 2008'!B6</f>
        <v>69.012648876366413</v>
      </c>
      <c r="C9" s="352">
        <f>+C$41/'[8]Pron. 2008'!C$38*'[8]Pron. 2008'!C6</f>
        <v>70.521380501461778</v>
      </c>
      <c r="D9" s="352">
        <f>+D$41/'[8]Pron. 2008'!D$38*'[8]Pron. 2008'!D6</f>
        <v>77.171482077790017</v>
      </c>
      <c r="E9" s="352">
        <f>+E$41/'[8]Pron. 2008'!E$38*'[8]Pron. 2008'!E6</f>
        <v>79.960942060608829</v>
      </c>
      <c r="F9" s="352">
        <f>+F$41/'[8]Pron. 2008'!F$38*'[8]Pron. 2008'!F6</f>
        <v>82.348358414710773</v>
      </c>
      <c r="G9" s="352">
        <f>+G$41/'[8]Pron. 2008'!G$38*'[8]Pron. 2008'!G6</f>
        <v>88.334104077265252</v>
      </c>
      <c r="H9" s="352">
        <f>+H$41/'[8]Pron. 2008'!H$38*'[8]Pron. 2008'!H6</f>
        <v>94.140300657909052</v>
      </c>
      <c r="I9" s="352">
        <f>+I$41/'[8]Pron. 2008'!I$38*'[8]Pron. 2008'!I6</f>
        <v>99.035011550231815</v>
      </c>
      <c r="J9" s="352">
        <f>+J$41/'[8]Pron. 2008'!J$38*'[8]Pron. 2008'!J6</f>
        <v>105.08960257743249</v>
      </c>
      <c r="K9" s="352">
        <f>+K$41/'[8]Pron. 2008'!K$38*'[8]Pron. 2008'!K6</f>
        <v>111.42869565184198</v>
      </c>
      <c r="L9" s="352">
        <f>+L$41/'[8]Pron. 2008'!L$38*'[8]Pron. 2008'!L6</f>
        <v>118.6258584262327</v>
      </c>
      <c r="M9" s="352">
        <f>+M$41/'[8]Pron. 2008'!M$38*'[8]Pron. 2008'!M6</f>
        <v>125.23819641771144</v>
      </c>
      <c r="N9" s="352">
        <f>+N$41/'[8]Pron. 2008'!N$38*'[8]Pron. 2008'!N6</f>
        <v>133.33802501911018</v>
      </c>
      <c r="O9" s="352">
        <f>+O$41/'[8]Pron. 2008'!O$38*'[8]Pron. 2008'!O6</f>
        <v>140.58010075417337</v>
      </c>
      <c r="P9" s="352">
        <f>+P$41/'[8]Pron. 2008'!P$38*'[8]Pron. 2008'!P6</f>
        <v>148.13881194390305</v>
      </c>
      <c r="Q9" s="353">
        <f>+P9*$AA$42</f>
        <v>156.23648908990762</v>
      </c>
      <c r="R9" s="353">
        <f>+Q9*$AA$42</f>
        <v>164.77680766323616</v>
      </c>
      <c r="S9" s="353">
        <f t="shared" ref="S9:Z18" si="1">+R9*$AA$42</f>
        <v>173.78396366845274</v>
      </c>
      <c r="T9" s="353">
        <f t="shared" si="1"/>
        <v>183.28347573064622</v>
      </c>
      <c r="U9" s="353">
        <f t="shared" si="1"/>
        <v>193.30225739352576</v>
      </c>
      <c r="V9" s="353">
        <f t="shared" si="1"/>
        <v>203.86869336953043</v>
      </c>
      <c r="W9" s="353">
        <f t="shared" si="1"/>
        <v>215.01271995798049</v>
      </c>
      <c r="X9" s="353">
        <f t="shared" si="1"/>
        <v>226.76590985910738</v>
      </c>
      <c r="Y9" s="353">
        <f t="shared" si="1"/>
        <v>239.16156162425307</v>
      </c>
      <c r="Z9" s="354">
        <f>+Y9*$AA$42</f>
        <v>252.23479399566457</v>
      </c>
    </row>
    <row r="10" spans="1:34">
      <c r="A10" s="355" t="s">
        <v>200</v>
      </c>
      <c r="B10" s="352">
        <f>+B$41/'[8]Pron. 2008'!B$38*'[8]Pron. 2008'!B7</f>
        <v>43.845393187018047</v>
      </c>
      <c r="C10" s="352">
        <f>+C$41/'[8]Pron. 2008'!C$38*'[8]Pron. 2008'!C7</f>
        <v>44.803926621004933</v>
      </c>
      <c r="D10" s="352">
        <f>+D$41/'[8]Pron. 2008'!D$38*'[8]Pron. 2008'!D7</f>
        <v>49.02889585628337</v>
      </c>
      <c r="E10" s="352">
        <f>+E$41/'[8]Pron. 2008'!E$38*'[8]Pron. 2008'!E7</f>
        <v>50.801106772940813</v>
      </c>
      <c r="F10" s="352">
        <f>+F$41/'[8]Pron. 2008'!F$38*'[8]Pron. 2008'!F7</f>
        <v>52.31788971709706</v>
      </c>
      <c r="G10" s="352">
        <f>+G$41/'[8]Pron. 2008'!G$38*'[8]Pron. 2008'!G7</f>
        <v>56.120777685683144</v>
      </c>
      <c r="H10" s="352">
        <f>+H$41/'[8]Pron. 2008'!H$38*'[8]Pron. 2008'!H7</f>
        <v>59.809593810615681</v>
      </c>
      <c r="I10" s="352">
        <f>+I$41/'[8]Pron. 2008'!I$38*'[8]Pron. 2008'!I7</f>
        <v>62.919321188203199</v>
      </c>
      <c r="J10" s="352">
        <f>+J$41/'[8]Pron. 2008'!J$38*'[8]Pron. 2008'!J7</f>
        <v>66.765948270287495</v>
      </c>
      <c r="K10" s="352">
        <f>+K$41/'[8]Pron. 2008'!K$38*'[8]Pron. 2008'!K7</f>
        <v>70.793326335350699</v>
      </c>
      <c r="L10" s="352">
        <f>+L$41/'[8]Pron. 2008'!L$38*'[8]Pron. 2008'!L7</f>
        <v>75.365856687568439</v>
      </c>
      <c r="M10" s="352">
        <f>+M$41/'[8]Pron. 2008'!M$38*'[8]Pron. 2008'!M7</f>
        <v>79.566833810490124</v>
      </c>
      <c r="N10" s="352">
        <f>+N$41/'[8]Pron. 2008'!N$38*'[8]Pron. 2008'!N7</f>
        <v>84.712849440349558</v>
      </c>
      <c r="O10" s="352">
        <f>+O$41/'[8]Pron. 2008'!O$38*'[8]Pron. 2008'!O7</f>
        <v>89.313914075078387</v>
      </c>
      <c r="P10" s="352">
        <f>+P$41/'[8]Pron. 2008'!P$38*'[8]Pron. 2008'!P7</f>
        <v>94.116144818235767</v>
      </c>
      <c r="Q10" s="353">
        <f t="shared" ref="Q10:Z38" si="2">+P10*$AA$42</f>
        <v>99.260793576815544</v>
      </c>
      <c r="R10" s="353">
        <f t="shared" si="2"/>
        <v>104.68666306431778</v>
      </c>
      <c r="S10" s="353">
        <f t="shared" si="1"/>
        <v>110.40912558351511</v>
      </c>
      <c r="T10" s="353">
        <f t="shared" si="1"/>
        <v>116.44439372976255</v>
      </c>
      <c r="U10" s="353">
        <f t="shared" si="1"/>
        <v>122.80956632371398</v>
      </c>
      <c r="V10" s="353">
        <f t="shared" si="1"/>
        <v>129.52267685484782</v>
      </c>
      <c r="W10" s="353">
        <f t="shared" si="1"/>
        <v>136.60274457304988</v>
      </c>
      <c r="X10" s="353">
        <f t="shared" si="1"/>
        <v>144.06982837300345</v>
      </c>
      <c r="Y10" s="353">
        <f t="shared" si="1"/>
        <v>151.94508362404898</v>
      </c>
      <c r="Z10" s="354">
        <f t="shared" si="1"/>
        <v>160.25082210652135</v>
      </c>
    </row>
    <row r="11" spans="1:34">
      <c r="A11" s="356" t="s">
        <v>127</v>
      </c>
      <c r="B11" s="352">
        <f>+B$41/'[8]Pron. 2008'!B$38*'[8]Pron. 2008'!B8</f>
        <v>49.983748233200572</v>
      </c>
      <c r="C11" s="352">
        <f>+C$41/'[8]Pron. 2008'!C$38*'[8]Pron. 2008'!C8</f>
        <v>51.076476347945615</v>
      </c>
      <c r="D11" s="352">
        <f>+D$41/'[8]Pron. 2008'!D$38*'[8]Pron. 2008'!D8</f>
        <v>55.892941276163029</v>
      </c>
      <c r="E11" s="352">
        <f>+E$41/'[8]Pron. 2008'!E$38*'[8]Pron. 2008'!E8</f>
        <v>57.913261721152509</v>
      </c>
      <c r="F11" s="352">
        <f>+F$41/'[8]Pron. 2008'!F$38*'[8]Pron. 2008'!F8</f>
        <v>59.642394277490638</v>
      </c>
      <c r="G11" s="352">
        <f>+G$41/'[8]Pron. 2008'!G$38*'[8]Pron. 2008'!G8</f>
        <v>63.977686561678766</v>
      </c>
      <c r="H11" s="352">
        <f>+H$41/'[8]Pron. 2008'!H$38*'[8]Pron. 2008'!H8</f>
        <v>68.182936944101854</v>
      </c>
      <c r="I11" s="352">
        <f>+I$41/'[8]Pron. 2008'!I$38*'[8]Pron. 2008'!I8</f>
        <v>71.728026154551628</v>
      </c>
      <c r="J11" s="352">
        <f>+J$41/'[8]Pron. 2008'!J$38*'[8]Pron. 2008'!J8</f>
        <v>76.113181028127727</v>
      </c>
      <c r="K11" s="352">
        <f>+K$41/'[8]Pron. 2008'!K$38*'[8]Pron. 2008'!K8</f>
        <v>80.704392022299785</v>
      </c>
      <c r="L11" s="352">
        <f>+L$41/'[8]Pron. 2008'!L$38*'[8]Pron. 2008'!L8</f>
        <v>85.917076623828009</v>
      </c>
      <c r="M11" s="352">
        <f>+M$41/'[8]Pron. 2008'!M$38*'[8]Pron. 2008'!M8</f>
        <v>90.706190543958741</v>
      </c>
      <c r="N11" s="352">
        <f>+N$41/'[8]Pron. 2008'!N$38*'[8]Pron. 2008'!N8</f>
        <v>96.572648361998475</v>
      </c>
      <c r="O11" s="352">
        <f>+O$41/'[8]Pron. 2008'!O$38*'[8]Pron. 2008'!O8</f>
        <v>101.81786204558935</v>
      </c>
      <c r="P11" s="352">
        <f>+P$41/'[8]Pron. 2008'!P$38*'[8]Pron. 2008'!P8</f>
        <v>107.29240509278875</v>
      </c>
      <c r="Q11" s="353">
        <f t="shared" si="2"/>
        <v>113.1573046775697</v>
      </c>
      <c r="R11" s="353">
        <f t="shared" si="2"/>
        <v>119.34279589332225</v>
      </c>
      <c r="S11" s="353">
        <f t="shared" si="1"/>
        <v>125.8664031652072</v>
      </c>
      <c r="T11" s="353">
        <f t="shared" si="1"/>
        <v>132.7466088519293</v>
      </c>
      <c r="U11" s="353">
        <f t="shared" si="1"/>
        <v>140.00290560903392</v>
      </c>
      <c r="V11" s="353">
        <f t="shared" si="1"/>
        <v>147.65585161452648</v>
      </c>
      <c r="W11" s="353">
        <f t="shared" si="1"/>
        <v>155.72712881327683</v>
      </c>
      <c r="X11" s="353">
        <f t="shared" si="1"/>
        <v>164.23960434522388</v>
      </c>
      <c r="Y11" s="353">
        <f t="shared" si="1"/>
        <v>173.21739533141579</v>
      </c>
      <c r="Z11" s="354">
        <f t="shared" si="1"/>
        <v>182.68593720143429</v>
      </c>
    </row>
    <row r="12" spans="1:34">
      <c r="A12" s="355" t="s">
        <v>128</v>
      </c>
      <c r="B12" s="352">
        <f>+B$41/'[8]Pron. 2008'!B$38*'[8]Pron. 2008'!B9</f>
        <v>42.530031391407505</v>
      </c>
      <c r="C12" s="352">
        <f>+C$41/'[8]Pron. 2008'!C$38*'[8]Pron. 2008'!C9</f>
        <v>43.459808822374782</v>
      </c>
      <c r="D12" s="352">
        <f>+D$41/'[8]Pron. 2008'!D$38*'[8]Pron. 2008'!D9</f>
        <v>47.558028980594869</v>
      </c>
      <c r="E12" s="352">
        <f>+E$41/'[8]Pron. 2008'!E$38*'[8]Pron. 2008'!E9</f>
        <v>49.277073569752574</v>
      </c>
      <c r="F12" s="352">
        <f>+F$41/'[8]Pron. 2008'!F$38*'[8]Pron. 2008'!F9</f>
        <v>50.748353025584144</v>
      </c>
      <c r="G12" s="352">
        <f>+G$41/'[8]Pron. 2008'!G$38*'[8]Pron. 2008'!G9</f>
        <v>54.437154355112639</v>
      </c>
      <c r="H12" s="352">
        <f>+H$41/'[8]Pron. 2008'!H$38*'[8]Pron. 2008'!H9</f>
        <v>58.015305996297194</v>
      </c>
      <c r="I12" s="352">
        <f>+I$41/'[8]Pron. 2008'!I$38*'[8]Pron. 2008'!I9</f>
        <v>61.031741552557101</v>
      </c>
      <c r="J12" s="352">
        <f>+J$41/'[8]Pron. 2008'!J$38*'[8]Pron. 2008'!J9</f>
        <v>64.76296982217886</v>
      </c>
      <c r="K12" s="352">
        <f>+K$41/'[8]Pron. 2008'!K$38*'[8]Pron. 2008'!K9</f>
        <v>68.669526545290168</v>
      </c>
      <c r="L12" s="352">
        <f>+L$41/'[8]Pron. 2008'!L$38*'[8]Pron. 2008'!L9</f>
        <v>73.104880986941367</v>
      </c>
      <c r="M12" s="352">
        <f>+M$41/'[8]Pron. 2008'!M$38*'[8]Pron. 2008'!M9</f>
        <v>77.1798287961754</v>
      </c>
      <c r="N12" s="352">
        <f>+N$41/'[8]Pron. 2008'!N$38*'[8]Pron. 2008'!N9</f>
        <v>82.171463957139053</v>
      </c>
      <c r="O12" s="352">
        <f>+O$41/'[8]Pron. 2008'!O$38*'[8]Pron. 2008'!O9</f>
        <v>86.634496652826016</v>
      </c>
      <c r="P12" s="352">
        <f>+P$41/'[8]Pron. 2008'!P$38*'[8]Pron. 2008'!P9</f>
        <v>91.292660473688684</v>
      </c>
      <c r="Q12" s="353">
        <f t="shared" si="2"/>
        <v>96.28296976951107</v>
      </c>
      <c r="R12" s="353">
        <f t="shared" si="2"/>
        <v>101.54606317238824</v>
      </c>
      <c r="S12" s="353">
        <f t="shared" si="1"/>
        <v>107.09685181600965</v>
      </c>
      <c r="T12" s="353">
        <f t="shared" si="1"/>
        <v>112.95106191786967</v>
      </c>
      <c r="U12" s="353">
        <f t="shared" si="1"/>
        <v>119.12527933400254</v>
      </c>
      <c r="V12" s="353">
        <f t="shared" si="1"/>
        <v>125.63699654920237</v>
      </c>
      <c r="W12" s="353">
        <f t="shared" si="1"/>
        <v>132.50466223585838</v>
      </c>
      <c r="X12" s="353">
        <f t="shared" si="1"/>
        <v>139.74773352181333</v>
      </c>
      <c r="Y12" s="353">
        <f t="shared" si="1"/>
        <v>147.38673111532751</v>
      </c>
      <c r="Z12" s="354">
        <f t="shared" si="1"/>
        <v>155.44329744332572</v>
      </c>
    </row>
    <row r="13" spans="1:34">
      <c r="A13" s="355" t="s">
        <v>129</v>
      </c>
      <c r="B13" s="352">
        <f>+B$41/'[8]Pron. 2008'!B$38*'[8]Pron. 2008'!B10</f>
        <v>42.179268245911352</v>
      </c>
      <c r="C13" s="352">
        <f>+C$41/'[8]Pron. 2008'!C$38*'[8]Pron. 2008'!C10</f>
        <v>43.101377409406737</v>
      </c>
      <c r="D13" s="352">
        <f>+D$41/'[8]Pron. 2008'!D$38*'[8]Pron. 2008'!D10</f>
        <v>47.165797813744589</v>
      </c>
      <c r="E13" s="352">
        <f>+E$41/'[8]Pron. 2008'!E$38*'[8]Pron. 2008'!E10</f>
        <v>48.870664715569035</v>
      </c>
      <c r="F13" s="352">
        <f>+F$41/'[8]Pron. 2008'!F$38*'[8]Pron. 2008'!F10</f>
        <v>50.329809907847356</v>
      </c>
      <c r="G13" s="352">
        <f>+G$41/'[8]Pron. 2008'!G$38*'[8]Pron. 2008'!G10</f>
        <v>53.988188133627169</v>
      </c>
      <c r="H13" s="352">
        <f>+H$41/'[8]Pron. 2008'!H$38*'[8]Pron. 2008'!H10</f>
        <v>57.536829245812264</v>
      </c>
      <c r="I13" s="352">
        <f>+I$41/'[8]Pron. 2008'!I$38*'[8]Pron. 2008'!I10</f>
        <v>60.528386983051462</v>
      </c>
      <c r="J13" s="352">
        <f>+J$41/'[8]Pron. 2008'!J$38*'[8]Pron. 2008'!J10</f>
        <v>64.228842236016561</v>
      </c>
      <c r="K13" s="352">
        <f>+K$41/'[8]Pron. 2008'!K$38*'[8]Pron. 2008'!K10</f>
        <v>68.103179934607354</v>
      </c>
      <c r="L13" s="352">
        <f>+L$41/'[8]Pron. 2008'!L$38*'[8]Pron. 2008'!L10</f>
        <v>72.501954133440833</v>
      </c>
      <c r="M13" s="352">
        <f>+M$41/'[8]Pron. 2008'!M$38*'[8]Pron. 2008'!M10</f>
        <v>76.543294125691503</v>
      </c>
      <c r="N13" s="352">
        <f>+N$41/'[8]Pron. 2008'!N$38*'[8]Pron. 2008'!N10</f>
        <v>81.493761161616263</v>
      </c>
      <c r="O13" s="352">
        <f>+O$41/'[8]Pron. 2008'!O$38*'[8]Pron. 2008'!O10</f>
        <v>85.919985340225409</v>
      </c>
      <c r="P13" s="352">
        <f>+P$41/'[8]Pron. 2008'!P$38*'[8]Pron. 2008'!P10</f>
        <v>90.539731315142788</v>
      </c>
      <c r="Q13" s="353">
        <f t="shared" si="2"/>
        <v>95.488883420896528</v>
      </c>
      <c r="R13" s="353">
        <f t="shared" si="2"/>
        <v>100.70856986787368</v>
      </c>
      <c r="S13" s="353">
        <f t="shared" si="1"/>
        <v>106.21357881134151</v>
      </c>
      <c r="T13" s="353">
        <f t="shared" si="1"/>
        <v>112.01950676803155</v>
      </c>
      <c r="U13" s="353">
        <f t="shared" si="1"/>
        <v>118.14280280341282</v>
      </c>
      <c r="V13" s="353">
        <f t="shared" si="1"/>
        <v>124.60081513436357</v>
      </c>
      <c r="W13" s="353">
        <f t="shared" si="1"/>
        <v>131.41184027927397</v>
      </c>
      <c r="X13" s="353">
        <f t="shared" si="1"/>
        <v>138.59517489482928</v>
      </c>
      <c r="Y13" s="353">
        <f t="shared" si="1"/>
        <v>146.17117044633508</v>
      </c>
      <c r="Z13" s="354">
        <f t="shared" si="1"/>
        <v>154.16129086647351</v>
      </c>
    </row>
    <row r="14" spans="1:34">
      <c r="A14" s="355" t="s">
        <v>130</v>
      </c>
      <c r="B14" s="352">
        <f>+B$41/'[8]Pron. 2008'!B$38*'[8]Pron. 2008'!B11</f>
        <v>74.789279428756032</v>
      </c>
      <c r="C14" s="352">
        <f>+C$41/'[8]Pron. 2008'!C$38*'[8]Pron. 2008'!C11</f>
        <v>76.424297833779164</v>
      </c>
      <c r="D14" s="352">
        <f>+D$41/'[8]Pron. 2008'!D$38*'[8]Pron. 2008'!D11</f>
        <v>83.631039106855354</v>
      </c>
      <c r="E14" s="352">
        <f>+E$41/'[8]Pron. 2008'!E$38*'[8]Pron. 2008'!E11</f>
        <v>86.653987877943791</v>
      </c>
      <c r="F14" s="352">
        <f>+F$41/'[8]Pron. 2008'!F$38*'[8]Pron. 2008'!F11</f>
        <v>89.241240384938322</v>
      </c>
      <c r="G14" s="352">
        <f>+G$41/'[8]Pron. 2008'!G$38*'[8]Pron. 2008'!G11</f>
        <v>95.728016537354023</v>
      </c>
      <c r="H14" s="352">
        <f>+H$41/'[8]Pron. 2008'!H$38*'[8]Pron. 2008'!H11</f>
        <v>102.0202146424577</v>
      </c>
      <c r="I14" s="352">
        <f>+I$41/'[8]Pron. 2008'!I$38*'[8]Pron. 2008'!I11</f>
        <v>107.32463211677762</v>
      </c>
      <c r="J14" s="352">
        <f>+J$41/'[8]Pron. 2008'!J$38*'[8]Pron. 2008'!J11</f>
        <v>113.88601626204293</v>
      </c>
      <c r="K14" s="352">
        <f>+K$41/'[8]Pron. 2008'!K$38*'[8]Pron. 2008'!K11</f>
        <v>120.75571639652448</v>
      </c>
      <c r="L14" s="352">
        <f>+L$41/'[8]Pron. 2008'!L$38*'[8]Pron. 2008'!L11</f>
        <v>128.55531004481992</v>
      </c>
      <c r="M14" s="352">
        <f>+M$41/'[8]Pron. 2008'!M$38*'[8]Pron. 2008'!M11</f>
        <v>135.72112677224359</v>
      </c>
      <c r="N14" s="352">
        <f>+N$41/'[8]Pron. 2008'!N$38*'[8]Pron. 2008'!N11</f>
        <v>144.4989429328763</v>
      </c>
      <c r="O14" s="352">
        <f>+O$41/'[8]Pron. 2008'!O$38*'[8]Pron. 2008'!O11</f>
        <v>152.34720893356501</v>
      </c>
      <c r="P14" s="352">
        <f>+P$41/'[8]Pron. 2008'!P$38*'[8]Pron. 2008'!P11</f>
        <v>160.53861402370572</v>
      </c>
      <c r="Q14" s="353">
        <f t="shared" si="2"/>
        <v>169.31409864365318</v>
      </c>
      <c r="R14" s="353">
        <f t="shared" si="2"/>
        <v>178.56927552196012</v>
      </c>
      <c r="S14" s="353">
        <f t="shared" si="1"/>
        <v>188.33036596408095</v>
      </c>
      <c r="T14" s="353">
        <f t="shared" si="1"/>
        <v>198.62502460454255</v>
      </c>
      <c r="U14" s="353">
        <f t="shared" si="1"/>
        <v>209.4824177566752</v>
      </c>
      <c r="V14" s="353">
        <f t="shared" si="1"/>
        <v>220.93330604515674</v>
      </c>
      <c r="W14" s="353">
        <f t="shared" si="1"/>
        <v>233.01013155547994</v>
      </c>
      <c r="X14" s="353">
        <f t="shared" si="1"/>
        <v>245.74710974725073</v>
      </c>
      <c r="Y14" s="353">
        <f t="shared" si="1"/>
        <v>259.18032639172168</v>
      </c>
      <c r="Z14" s="354">
        <f t="shared" si="1"/>
        <v>273.34783980819896</v>
      </c>
    </row>
    <row r="15" spans="1:34">
      <c r="A15" s="355" t="s">
        <v>131</v>
      </c>
      <c r="B15" s="352">
        <f>+B$41/'[8]Pron. 2008'!B$38*'[8]Pron. 2008'!B12</f>
        <v>45.544402173015001</v>
      </c>
      <c r="C15" s="352">
        <f>+C$41/'[8]Pron. 2008'!C$38*'[8]Pron. 2008'!C12</f>
        <v>46.54007877756888</v>
      </c>
      <c r="D15" s="352">
        <f>+D$41/'[8]Pron. 2008'!D$38*'[8]Pron. 2008'!D12</f>
        <v>50.928765570714354</v>
      </c>
      <c r="E15" s="352">
        <f>+E$41/'[8]Pron. 2008'!E$38*'[8]Pron. 2008'!E12</f>
        <v>52.769649660392261</v>
      </c>
      <c r="F15" s="352">
        <f>+F$41/'[8]Pron. 2008'!F$38*'[8]Pron. 2008'!F12</f>
        <v>54.345207943634577</v>
      </c>
      <c r="G15" s="352">
        <f>+G$41/'[8]Pron. 2008'!G$38*'[8]Pron. 2008'!G12</f>
        <v>58.295457821003367</v>
      </c>
      <c r="H15" s="352">
        <f>+H$41/'[8]Pron. 2008'!H$38*'[8]Pron. 2008'!H12</f>
        <v>62.127215570777025</v>
      </c>
      <c r="I15" s="352">
        <f>+I$41/'[8]Pron. 2008'!I$38*'[8]Pron. 2008'!I12</f>
        <v>65.357444884246064</v>
      </c>
      <c r="J15" s="352">
        <f>+J$41/'[8]Pron. 2008'!J$38*'[8]Pron. 2008'!J12</f>
        <v>69.353128765761127</v>
      </c>
      <c r="K15" s="352">
        <f>+K$41/'[8]Pron. 2008'!K$38*'[8]Pron. 2008'!K12</f>
        <v>73.536567730845533</v>
      </c>
      <c r="L15" s="352">
        <f>+L$41/'[8]Pron. 2008'!L$38*'[8]Pron. 2008'!L12</f>
        <v>78.286283634211728</v>
      </c>
      <c r="M15" s="352">
        <f>+M$41/'[8]Pron. 2008'!M$38*'[8]Pron. 2008'!M12</f>
        <v>82.650048620646629</v>
      </c>
      <c r="N15" s="352">
        <f>+N$41/'[8]Pron. 2008'!N$38*'[8]Pron. 2008'!N12</f>
        <v>87.995472356163106</v>
      </c>
      <c r="O15" s="352">
        <f>+O$41/'[8]Pron. 2008'!O$38*'[8]Pron. 2008'!O12</f>
        <v>92.774828245487697</v>
      </c>
      <c r="P15" s="352">
        <f>+P$41/'[8]Pron. 2008'!P$38*'[8]Pron. 2008'!P12</f>
        <v>97.763145429942426</v>
      </c>
      <c r="Q15" s="353">
        <f t="shared" si="2"/>
        <v>103.10714932791717</v>
      </c>
      <c r="R15" s="353">
        <f t="shared" si="2"/>
        <v>108.74327125806012</v>
      </c>
      <c r="S15" s="353">
        <f t="shared" si="1"/>
        <v>114.68747919987635</v>
      </c>
      <c r="T15" s="353">
        <f t="shared" si="1"/>
        <v>120.95661398679088</v>
      </c>
      <c r="U15" s="353">
        <f t="shared" si="1"/>
        <v>127.56843701875793</v>
      </c>
      <c r="V15" s="353">
        <f t="shared" si="1"/>
        <v>134.54168058297321</v>
      </c>
      <c r="W15" s="353">
        <f t="shared" si="1"/>
        <v>141.89610092525561</v>
      </c>
      <c r="X15" s="353">
        <f t="shared" si="1"/>
        <v>149.65253422245738</v>
      </c>
      <c r="Y15" s="353">
        <f t="shared" si="1"/>
        <v>157.83295561448094</v>
      </c>
      <c r="Z15" s="354">
        <f t="shared" si="1"/>
        <v>166.46054146314913</v>
      </c>
    </row>
    <row r="16" spans="1:34">
      <c r="A16" s="355" t="s">
        <v>201</v>
      </c>
      <c r="B16" s="352">
        <f>+B$41/'[8]Pron. 2008'!B$38*'[8]Pron. 2008'!B13</f>
        <v>12.539782451487163</v>
      </c>
      <c r="C16" s="352">
        <f>+C$41/'[8]Pron. 2008'!C$38*'[8]Pron. 2008'!C13</f>
        <v>12.813923013607413</v>
      </c>
      <c r="D16" s="352">
        <f>+D$41/'[8]Pron. 2008'!D$38*'[8]Pron. 2008'!D13</f>
        <v>14.022264214897044</v>
      </c>
      <c r="E16" s="352">
        <f>+E$41/'[8]Pron. 2008'!E$38*'[8]Pron. 2008'!E13</f>
        <v>14.529116537061071</v>
      </c>
      <c r="F16" s="352">
        <f>+F$41/'[8]Pron. 2008'!F$38*'[8]Pron. 2008'!F13</f>
        <v>14.96291645908976</v>
      </c>
      <c r="G16" s="352">
        <f>+G$41/'[8]Pron. 2008'!G$38*'[8]Pron. 2008'!G13</f>
        <v>16.05054241810538</v>
      </c>
      <c r="H16" s="352">
        <f>+H$41/'[8]Pron. 2008'!H$38*'[8]Pron. 2008'!H13</f>
        <v>17.10554382983608</v>
      </c>
      <c r="I16" s="352">
        <f>+I$41/'[8]Pron. 2008'!I$38*'[8]Pron. 2008'!I13</f>
        <v>17.994925859826115</v>
      </c>
      <c r="J16" s="352">
        <f>+J$41/'[8]Pron. 2008'!J$38*'[8]Pron. 2008'!J13</f>
        <v>19.095061205302223</v>
      </c>
      <c r="K16" s="352">
        <f>+K$41/'[8]Pron. 2008'!K$38*'[8]Pron. 2008'!K13</f>
        <v>20.246891331910298</v>
      </c>
      <c r="L16" s="352">
        <f>+L$41/'[8]Pron. 2008'!L$38*'[8]Pron. 2008'!L13</f>
        <v>21.554635012644574</v>
      </c>
      <c r="M16" s="352">
        <f>+M$41/'[8]Pron. 2008'!M$38*'[8]Pron. 2008'!M13</f>
        <v>22.756114469800178</v>
      </c>
      <c r="N16" s="352">
        <f>+N$41/'[8]Pron. 2008'!N$38*'[8]Pron. 2008'!N13</f>
        <v>24.227874939939976</v>
      </c>
      <c r="O16" s="352">
        <f>+O$41/'[8]Pron. 2008'!O$38*'[8]Pron. 2008'!O13</f>
        <v>25.543779425472426</v>
      </c>
      <c r="P16" s="352">
        <f>+P$41/'[8]Pron. 2008'!P$38*'[8]Pron. 2008'!P13</f>
        <v>26.917217418015433</v>
      </c>
      <c r="Q16" s="353">
        <f t="shared" si="2"/>
        <v>28.388586962969249</v>
      </c>
      <c r="R16" s="353">
        <f t="shared" si="2"/>
        <v>29.94038563639489</v>
      </c>
      <c r="S16" s="353">
        <f t="shared" si="1"/>
        <v>31.577009916885324</v>
      </c>
      <c r="T16" s="353">
        <f t="shared" si="1"/>
        <v>33.303096606712096</v>
      </c>
      <c r="U16" s="353">
        <f t="shared" si="1"/>
        <v>35.123535968582203</v>
      </c>
      <c r="V16" s="353">
        <f t="shared" si="1"/>
        <v>37.043485580486482</v>
      </c>
      <c r="W16" s="353">
        <f t="shared" si="1"/>
        <v>39.068384947892277</v>
      </c>
      <c r="X16" s="353">
        <f t="shared" si="1"/>
        <v>41.203970914678997</v>
      </c>
      <c r="Y16" s="353">
        <f t="shared" si="1"/>
        <v>43.456293916478025</v>
      </c>
      <c r="Z16" s="354">
        <f t="shared" si="1"/>
        <v>45.831735122465126</v>
      </c>
    </row>
    <row r="17" spans="1:26">
      <c r="A17" s="355" t="s">
        <v>132</v>
      </c>
      <c r="B17" s="352">
        <f>+B$41/'[8]Pron. 2008'!B$38*'[8]Pron. 2008'!B14</f>
        <v>32.040021071413442</v>
      </c>
      <c r="C17" s="352">
        <f>+C$41/'[8]Pron. 2008'!C$38*'[8]Pron. 2008'!C14</f>
        <v>32.740469378299359</v>
      </c>
      <c r="D17" s="352">
        <f>+D$41/'[8]Pron. 2008'!D$38*'[8]Pron. 2008'!D14</f>
        <v>35.82786564697907</v>
      </c>
      <c r="E17" s="352">
        <f>+E$41/'[8]Pron. 2008'!E$38*'[8]Pron. 2008'!E14</f>
        <v>37.122908774326497</v>
      </c>
      <c r="F17" s="352">
        <f>+F$41/'[8]Pron. 2008'!F$38*'[8]Pron. 2008'!F14</f>
        <v>38.231297910768674</v>
      </c>
      <c r="G17" s="352">
        <f>+G$41/'[8]Pron. 2008'!G$38*'[8]Pron. 2008'!G14</f>
        <v>41.010258293812953</v>
      </c>
      <c r="H17" s="352">
        <f>+H$41/'[8]Pron. 2008'!H$38*'[8]Pron. 2008'!H14</f>
        <v>43.705860677107395</v>
      </c>
      <c r="I17" s="352">
        <f>+I$41/'[8]Pron. 2008'!I$38*'[8]Pron. 2008'!I14</f>
        <v>45.97829395827948</v>
      </c>
      <c r="J17" s="352">
        <f>+J$41/'[8]Pron. 2008'!J$38*'[8]Pron. 2008'!J14</f>
        <v>48.789216698512575</v>
      </c>
      <c r="K17" s="352">
        <f>+K$41/'[8]Pron. 2008'!K$38*'[8]Pron. 2008'!K14</f>
        <v>51.732223219557511</v>
      </c>
      <c r="L17" s="352">
        <f>+L$41/'[8]Pron. 2008'!L$38*'[8]Pron. 2008'!L14</f>
        <v>55.073599774440638</v>
      </c>
      <c r="M17" s="352">
        <f>+M$41/'[8]Pron. 2008'!M$38*'[8]Pron. 2008'!M14</f>
        <v>58.143463807015664</v>
      </c>
      <c r="N17" s="352">
        <f>+N$41/'[8]Pron. 2008'!N$38*'[8]Pron. 2008'!N14</f>
        <v>61.90391472853544</v>
      </c>
      <c r="O17" s="352">
        <f>+O$41/'[8]Pron. 2008'!O$38*'[8]Pron. 2008'!O14</f>
        <v>65.266142710363539</v>
      </c>
      <c r="P17" s="352">
        <f>+P$41/'[8]Pron. 2008'!P$38*'[8]Pron. 2008'!P14</f>
        <v>68.775372825925785</v>
      </c>
      <c r="Q17" s="353">
        <f t="shared" si="2"/>
        <v>72.534824906257953</v>
      </c>
      <c r="R17" s="353">
        <f t="shared" si="2"/>
        <v>76.49977903425021</v>
      </c>
      <c r="S17" s="353">
        <f t="shared" si="1"/>
        <v>80.681468520153658</v>
      </c>
      <c r="T17" s="353">
        <f t="shared" si="1"/>
        <v>85.091740718023971</v>
      </c>
      <c r="U17" s="353">
        <f t="shared" si="1"/>
        <v>89.743090591053971</v>
      </c>
      <c r="V17" s="353">
        <f t="shared" si="1"/>
        <v>94.648696111680025</v>
      </c>
      <c r="W17" s="353">
        <f t="shared" si="1"/>
        <v>99.822455596756186</v>
      </c>
      <c r="X17" s="353">
        <f t="shared" si="1"/>
        <v>105.27902708357225</v>
      </c>
      <c r="Y17" s="353">
        <f t="shared" si="1"/>
        <v>111.03386985827377</v>
      </c>
      <c r="Z17" s="354">
        <f t="shared" si="1"/>
        <v>117.10328825434047</v>
      </c>
    </row>
    <row r="18" spans="1:26" s="268" customFormat="1">
      <c r="A18" s="357" t="s">
        <v>52</v>
      </c>
      <c r="B18" s="358">
        <f>+B$41/'[8]Pron. 2008'!B$38*'[8]Pron. 2008'!B15</f>
        <v>412.46457505857552</v>
      </c>
      <c r="C18" s="358">
        <f>+C$41/'[8]Pron. 2008'!C$38*'[8]Pron. 2008'!C15</f>
        <v>421.48173870544866</v>
      </c>
      <c r="D18" s="358">
        <f>+D$41/'[8]Pron. 2008'!D$38*'[8]Pron. 2008'!D15</f>
        <v>461.22708054402176</v>
      </c>
      <c r="E18" s="358">
        <f>+E$41/'[8]Pron. 2008'!E$38*'[8]Pron. 2008'!E15</f>
        <v>477.89871168974742</v>
      </c>
      <c r="F18" s="358">
        <f>+F$41/'[8]Pron. 2008'!F$38*'[8]Pron. 2008'!F15</f>
        <v>492.16746804116138</v>
      </c>
      <c r="G18" s="358">
        <f>+G$41/'[8]Pron. 2008'!G$38*'[8]Pron. 2008'!G15</f>
        <v>527.94218588364276</v>
      </c>
      <c r="H18" s="358">
        <f>+H$41/'[8]Pron. 2008'!H$38*'[8]Pron. 2008'!H15</f>
        <v>562.64380137491435</v>
      </c>
      <c r="I18" s="358">
        <f>+I$41/'[8]Pron. 2008'!I$38*'[8]Pron. 2008'!I15</f>
        <v>591.89778424772453</v>
      </c>
      <c r="J18" s="358">
        <f>+J$41/'[8]Pron. 2008'!J$38*'[8]Pron. 2008'!J15</f>
        <v>628.08396686566209</v>
      </c>
      <c r="K18" s="358">
        <f>+K$41/'[8]Pron. 2008'!K$38*'[8]Pron. 2008'!K15</f>
        <v>665.97051916822784</v>
      </c>
      <c r="L18" s="358">
        <f>+L$41/'[8]Pron. 2008'!L$38*'[8]Pron. 2008'!L15</f>
        <v>708.98545532412822</v>
      </c>
      <c r="M18" s="358">
        <f>+M$41/'[8]Pron. 2008'!M$38*'[8]Pron. 2008'!M15</f>
        <v>748.50509736373328</v>
      </c>
      <c r="N18" s="358">
        <f>+N$41/'[8]Pron. 2008'!N$38*'[8]Pron. 2008'!N15</f>
        <v>796.91495289772843</v>
      </c>
      <c r="O18" s="358">
        <f>+O$41/'[8]Pron. 2008'!O$38*'[8]Pron. 2008'!O15</f>
        <v>840.19831818278124</v>
      </c>
      <c r="P18" s="358">
        <f>+P$41/'[8]Pron. 2008'!P$38*'[8]Pron. 2008'!P15</f>
        <v>885.37410334134847</v>
      </c>
      <c r="Q18" s="358">
        <f t="shared" si="2"/>
        <v>933.77110037549812</v>
      </c>
      <c r="R18" s="358">
        <f t="shared" si="2"/>
        <v>984.81361111180354</v>
      </c>
      <c r="S18" s="358">
        <f t="shared" si="1"/>
        <v>1038.6462466455225</v>
      </c>
      <c r="T18" s="358">
        <f t="shared" si="1"/>
        <v>1095.4215229143088</v>
      </c>
      <c r="U18" s="358">
        <f t="shared" si="1"/>
        <v>1155.3002927987584</v>
      </c>
      <c r="V18" s="358">
        <f t="shared" si="1"/>
        <v>1218.4522018427672</v>
      </c>
      <c r="W18" s="358">
        <f t="shared" si="1"/>
        <v>1285.0561688848236</v>
      </c>
      <c r="X18" s="358">
        <f t="shared" si="1"/>
        <v>1355.3008929619368</v>
      </c>
      <c r="Y18" s="358">
        <f t="shared" si="1"/>
        <v>1429.385387922335</v>
      </c>
      <c r="Z18" s="359">
        <f t="shared" si="1"/>
        <v>1507.5195462615732</v>
      </c>
    </row>
    <row r="19" spans="1:26">
      <c r="A19" s="360"/>
      <c r="B19" s="352" t="s">
        <v>202</v>
      </c>
      <c r="C19" s="352" t="s">
        <v>202</v>
      </c>
      <c r="D19" s="352" t="s">
        <v>202</v>
      </c>
      <c r="E19" s="352" t="s">
        <v>202</v>
      </c>
      <c r="F19" s="352" t="s">
        <v>202</v>
      </c>
      <c r="G19" s="352" t="s">
        <v>202</v>
      </c>
      <c r="H19" s="352" t="s">
        <v>202</v>
      </c>
      <c r="I19" s="352" t="s">
        <v>202</v>
      </c>
      <c r="J19" s="352" t="s">
        <v>202</v>
      </c>
      <c r="K19" s="352" t="s">
        <v>202</v>
      </c>
      <c r="L19" s="352" t="s">
        <v>202</v>
      </c>
      <c r="M19" s="352" t="s">
        <v>202</v>
      </c>
      <c r="N19" s="352" t="s">
        <v>202</v>
      </c>
      <c r="O19" s="352" t="s">
        <v>202</v>
      </c>
      <c r="P19" s="352" t="s">
        <v>202</v>
      </c>
      <c r="Q19" s="353" t="s">
        <v>202</v>
      </c>
      <c r="R19" s="353" t="s">
        <v>202</v>
      </c>
      <c r="S19" s="353" t="s">
        <v>202</v>
      </c>
      <c r="T19" s="353" t="s">
        <v>202</v>
      </c>
      <c r="U19" s="353" t="s">
        <v>202</v>
      </c>
      <c r="V19" s="353" t="s">
        <v>202</v>
      </c>
      <c r="W19" s="353" t="s">
        <v>202</v>
      </c>
      <c r="X19" s="353" t="s">
        <v>202</v>
      </c>
      <c r="Y19" s="353" t="s">
        <v>202</v>
      </c>
      <c r="Z19" s="354" t="s">
        <v>202</v>
      </c>
    </row>
    <row r="20" spans="1:26">
      <c r="A20" s="361" t="s">
        <v>125</v>
      </c>
      <c r="B20" s="352" t="s">
        <v>202</v>
      </c>
      <c r="C20" s="352" t="s">
        <v>202</v>
      </c>
      <c r="D20" s="352" t="s">
        <v>202</v>
      </c>
      <c r="E20" s="352" t="s">
        <v>202</v>
      </c>
      <c r="F20" s="352" t="s">
        <v>202</v>
      </c>
      <c r="G20" s="352" t="s">
        <v>202</v>
      </c>
      <c r="H20" s="352" t="s">
        <v>202</v>
      </c>
      <c r="I20" s="352" t="s">
        <v>202</v>
      </c>
      <c r="J20" s="352" t="s">
        <v>202</v>
      </c>
      <c r="K20" s="352" t="s">
        <v>202</v>
      </c>
      <c r="L20" s="352" t="s">
        <v>202</v>
      </c>
      <c r="M20" s="352" t="s">
        <v>202</v>
      </c>
      <c r="N20" s="352" t="s">
        <v>202</v>
      </c>
      <c r="O20" s="352" t="s">
        <v>202</v>
      </c>
      <c r="P20" s="352" t="s">
        <v>202</v>
      </c>
      <c r="Q20" s="353" t="s">
        <v>202</v>
      </c>
      <c r="R20" s="353" t="s">
        <v>202</v>
      </c>
      <c r="S20" s="353" t="s">
        <v>202</v>
      </c>
      <c r="T20" s="353" t="s">
        <v>202</v>
      </c>
      <c r="U20" s="353" t="s">
        <v>202</v>
      </c>
      <c r="V20" s="353" t="s">
        <v>202</v>
      </c>
      <c r="W20" s="353" t="s">
        <v>202</v>
      </c>
      <c r="X20" s="353" t="s">
        <v>202</v>
      </c>
      <c r="Y20" s="353" t="s">
        <v>202</v>
      </c>
      <c r="Z20" s="354" t="s">
        <v>202</v>
      </c>
    </row>
    <row r="21" spans="1:26">
      <c r="A21" s="351" t="s">
        <v>133</v>
      </c>
      <c r="B21" s="352">
        <f>+B$41/'[8]Pron. 2008'!B$38*'[8]Pron. 2008'!B18</f>
        <v>85.498516714685181</v>
      </c>
      <c r="C21" s="352">
        <f>+C$41/'[8]Pron. 2008'!C$38*'[8]Pron. 2008'!C18</f>
        <v>87.367656910959596</v>
      </c>
      <c r="D21" s="352">
        <f>+D$41/'[8]Pron. 2008'!D$38*'[8]Pron. 2008'!D18</f>
        <v>95.606346919752554</v>
      </c>
      <c r="E21" s="352">
        <f>+E$41/'[8]Pron. 2008'!E$38*'[8]Pron. 2008'!E18</f>
        <v>99.062158207234546</v>
      </c>
      <c r="F21" s="352">
        <f>+F$41/'[8]Pron. 2008'!F$38*'[8]Pron. 2008'!F18</f>
        <v>102.01988494833923</v>
      </c>
      <c r="G21" s="352">
        <f>+G$41/'[8]Pron. 2008'!G$38*'[8]Pron. 2008'!G18</f>
        <v>109.43551648708208</v>
      </c>
      <c r="H21" s="352">
        <f>+H$41/'[8]Pron. 2008'!H$38*'[8]Pron. 2008'!H18</f>
        <v>116.62870793070053</v>
      </c>
      <c r="I21" s="352">
        <f>+I$41/'[8]Pron. 2008'!I$38*'[8]Pron. 2008'!I18</f>
        <v>122.6926763169962</v>
      </c>
      <c r="J21" s="352">
        <f>+J$41/'[8]Pron. 2008'!J$38*'[8]Pron. 2008'!J18</f>
        <v>130.19359912706054</v>
      </c>
      <c r="K21" s="352">
        <f>+K$41/'[8]Pron. 2008'!K$38*'[8]Pron. 2008'!K18</f>
        <v>138.04698635393376</v>
      </c>
      <c r="L21" s="352">
        <f>+L$41/'[8]Pron. 2008'!L$38*'[8]Pron. 2008'!L18</f>
        <v>146.96342054075834</v>
      </c>
      <c r="M21" s="352">
        <f>+M$41/'[8]Pron. 2008'!M$38*'[8]Pron. 2008'!M18</f>
        <v>155.15532593045563</v>
      </c>
      <c r="N21" s="352">
        <f>+N$41/'[8]Pron. 2008'!N$38*'[8]Pron. 2008'!N18</f>
        <v>165.19005640868153</v>
      </c>
      <c r="O21" s="352">
        <f>+O$41/'[8]Pron. 2008'!O$38*'[8]Pron. 2008'!O18</f>
        <v>174.16213244640278</v>
      </c>
      <c r="P21" s="352">
        <f>+P$41/'[8]Pron. 2008'!P$38*'[8]Pron. 2008'!P18</f>
        <v>183.52648239555961</v>
      </c>
      <c r="Q21" s="353">
        <f t="shared" si="2"/>
        <v>193.55854747479017</v>
      </c>
      <c r="R21" s="353">
        <f t="shared" si="2"/>
        <v>204.13899297541954</v>
      </c>
      <c r="S21" s="353">
        <f t="shared" si="2"/>
        <v>215.29779488785431</v>
      </c>
      <c r="T21" s="353">
        <f t="shared" si="2"/>
        <v>227.06656777303681</v>
      </c>
      <c r="U21" s="353">
        <f t="shared" si="2"/>
        <v>239.47865433124207</v>
      </c>
      <c r="V21" s="353">
        <f t="shared" si="2"/>
        <v>252.56921986695303</v>
      </c>
      <c r="W21" s="353">
        <f t="shared" si="2"/>
        <v>266.37535191744706</v>
      </c>
      <c r="X21" s="353">
        <f t="shared" si="2"/>
        <v>280.93616532735649</v>
      </c>
      <c r="Y21" s="353">
        <f t="shared" si="2"/>
        <v>296.29291306689527</v>
      </c>
      <c r="Z21" s="354">
        <f t="shared" si="2"/>
        <v>312.4891031077164</v>
      </c>
    </row>
    <row r="22" spans="1:26">
      <c r="A22" s="362" t="s">
        <v>134</v>
      </c>
      <c r="B22" s="352">
        <f>+B$41/'[8]Pron. 2008'!B$38*'[8]Pron. 2008'!B19</f>
        <v>97.555999841115153</v>
      </c>
      <c r="C22" s="352">
        <f>+C$41/'[8]Pron. 2008'!C$38*'[8]Pron. 2008'!C19</f>
        <v>99.688736731735958</v>
      </c>
      <c r="D22" s="352">
        <f>+D$41/'[8]Pron. 2008'!D$38*'[8]Pron. 2008'!D19</f>
        <v>109.08929328023051</v>
      </c>
      <c r="E22" s="352">
        <f>+E$41/'[8]Pron. 2008'!E$38*'[8]Pron. 2008'!E19</f>
        <v>113.0324625697933</v>
      </c>
      <c r="F22" s="352">
        <f>+F$41/'[8]Pron. 2008'!F$38*'[8]Pron. 2008'!F19</f>
        <v>116.40730462054096</v>
      </c>
      <c r="G22" s="352">
        <f>+G$41/'[8]Pron. 2008'!G$38*'[8]Pron. 2008'!G19</f>
        <v>124.86873035064498</v>
      </c>
      <c r="H22" s="352">
        <f>+H$41/'[8]Pron. 2008'!H$38*'[8]Pron. 2008'!H19</f>
        <v>133.07634622861985</v>
      </c>
      <c r="I22" s="352">
        <f>+I$41/'[8]Pron. 2008'!I$38*'[8]Pron. 2008'!I19</f>
        <v>139.99548964375208</v>
      </c>
      <c r="J22" s="352">
        <f>+J$41/'[8]Pron. 2008'!J$38*'[8]Pron. 2008'!J19</f>
        <v>148.55423490138961</v>
      </c>
      <c r="K22" s="352">
        <f>+K$41/'[8]Pron. 2008'!K$38*'[8]Pron. 2008'!K19</f>
        <v>157.51515109615522</v>
      </c>
      <c r="L22" s="352">
        <f>+L$41/'[8]Pron. 2008'!L$38*'[8]Pron. 2008'!L19</f>
        <v>167.68903112983969</v>
      </c>
      <c r="M22" s="352">
        <f>+M$41/'[8]Pron. 2008'!M$38*'[8]Pron. 2008'!M19</f>
        <v>177.03620522834046</v>
      </c>
      <c r="N22" s="352">
        <f>+N$41/'[8]Pron. 2008'!N$38*'[8]Pron. 2008'!N19</f>
        <v>188.48609000477768</v>
      </c>
      <c r="O22" s="352">
        <f>+O$41/'[8]Pron. 2008'!O$38*'[8]Pron. 2008'!O19</f>
        <v>198.72345881704933</v>
      </c>
      <c r="P22" s="352">
        <f>+P$41/'[8]Pron. 2008'!P$38*'[8]Pron. 2008'!P19</f>
        <v>209.40842222057447</v>
      </c>
      <c r="Q22" s="353">
        <f t="shared" si="2"/>
        <v>220.85526570841446</v>
      </c>
      <c r="R22" s="353">
        <f t="shared" si="2"/>
        <v>232.92782531810695</v>
      </c>
      <c r="S22" s="353">
        <f t="shared" si="2"/>
        <v>245.66030442332101</v>
      </c>
      <c r="T22" s="353">
        <f t="shared" si="2"/>
        <v>259.08877604872157</v>
      </c>
      <c r="U22" s="353">
        <f t="shared" si="2"/>
        <v>273.25128507026346</v>
      </c>
      <c r="V22" s="353">
        <f t="shared" si="2"/>
        <v>288.18795600203623</v>
      </c>
      <c r="W22" s="353">
        <f t="shared" si="2"/>
        <v>303.94110667503583</v>
      </c>
      <c r="X22" s="353">
        <f t="shared" si="2"/>
        <v>320.5553681299325</v>
      </c>
      <c r="Y22" s="353">
        <f t="shared" si="2"/>
        <v>338.07781106350882</v>
      </c>
      <c r="Z22" s="354">
        <f t="shared" si="2"/>
        <v>356.55807918700987</v>
      </c>
    </row>
    <row r="23" spans="1:26">
      <c r="A23" s="362" t="s">
        <v>135</v>
      </c>
      <c r="B23" s="352">
        <f>+B$41/'[8]Pron. 2008'!B$38*'[8]Pron. 2008'!B20</f>
        <v>87.69078637403608</v>
      </c>
      <c r="C23" s="352">
        <f>+C$41/'[8]Pron. 2008'!C$38*'[8]Pron. 2008'!C20</f>
        <v>89.607853242009838</v>
      </c>
      <c r="D23" s="352">
        <f>+D$41/'[8]Pron. 2008'!D$38*'[8]Pron. 2008'!D20</f>
        <v>98.057791712566726</v>
      </c>
      <c r="E23" s="352">
        <f>+E$41/'[8]Pron. 2008'!E$38*'[8]Pron. 2008'!E20</f>
        <v>101.60221354588161</v>
      </c>
      <c r="F23" s="352">
        <f>+F$41/'[8]Pron. 2008'!F$38*'[8]Pron. 2008'!F20</f>
        <v>104.63577943419409</v>
      </c>
      <c r="G23" s="352">
        <f>+G$41/'[8]Pron. 2008'!G$38*'[8]Pron. 2008'!G20</f>
        <v>112.24155537136625</v>
      </c>
      <c r="H23" s="352">
        <f>+H$41/'[8]Pron. 2008'!H$38*'[8]Pron. 2008'!H20</f>
        <v>119.61918762123132</v>
      </c>
      <c r="I23" s="352">
        <f>+I$41/'[8]Pron. 2008'!I$38*'[8]Pron. 2008'!I20</f>
        <v>125.83864237640637</v>
      </c>
      <c r="J23" s="352">
        <f>+J$41/'[8]Pron. 2008'!J$38*'[8]Pron. 2008'!J20</f>
        <v>133.53189654057493</v>
      </c>
      <c r="K23" s="352">
        <f>+K$41/'[8]Pron. 2008'!K$38*'[8]Pron. 2008'!K20</f>
        <v>141.58665267070134</v>
      </c>
      <c r="L23" s="352">
        <f>+L$41/'[8]Pron. 2008'!L$38*'[8]Pron. 2008'!L20</f>
        <v>150.73171337513679</v>
      </c>
      <c r="M23" s="352">
        <f>+M$41/'[8]Pron. 2008'!M$38*'[8]Pron. 2008'!M20</f>
        <v>159.13366762098019</v>
      </c>
      <c r="N23" s="352">
        <f>+N$41/'[8]Pron. 2008'!N$38*'[8]Pron. 2008'!N20</f>
        <v>169.42569888069903</v>
      </c>
      <c r="O23" s="352">
        <f>+O$41/'[8]Pron. 2008'!O$38*'[8]Pron. 2008'!O20</f>
        <v>178.62782815015672</v>
      </c>
      <c r="P23" s="352">
        <f>+P$41/'[8]Pron. 2008'!P$38*'[8]Pron. 2008'!P20</f>
        <v>188.23228963647148</v>
      </c>
      <c r="Q23" s="353">
        <f t="shared" si="2"/>
        <v>198.52158715363103</v>
      </c>
      <c r="R23" s="353">
        <f t="shared" si="2"/>
        <v>209.37332612863551</v>
      </c>
      <c r="S23" s="353">
        <f t="shared" si="2"/>
        <v>220.81825116703016</v>
      </c>
      <c r="T23" s="353">
        <f t="shared" si="2"/>
        <v>232.88878745952505</v>
      </c>
      <c r="U23" s="353">
        <f t="shared" si="2"/>
        <v>245.6191326474279</v>
      </c>
      <c r="V23" s="353">
        <f t="shared" si="2"/>
        <v>259.04535370969558</v>
      </c>
      <c r="W23" s="353">
        <f t="shared" si="2"/>
        <v>273.20548914609969</v>
      </c>
      <c r="X23" s="353">
        <f t="shared" si="2"/>
        <v>288.13965674600684</v>
      </c>
      <c r="Y23" s="353">
        <f t="shared" si="2"/>
        <v>303.8901672480979</v>
      </c>
      <c r="Z23" s="354">
        <f t="shared" si="2"/>
        <v>320.50164421304265</v>
      </c>
    </row>
    <row r="24" spans="1:26">
      <c r="A24" s="362" t="s">
        <v>136</v>
      </c>
      <c r="B24" s="352">
        <f>+B$41/'[8]Pron. 2008'!B$38*'[8]Pron. 2008'!B21</f>
        <v>70.152629099228875</v>
      </c>
      <c r="C24" s="352">
        <f>+C$41/'[8]Pron. 2008'!C$38*'[8]Pron. 2008'!C21</f>
        <v>71.686282593607899</v>
      </c>
      <c r="D24" s="352">
        <f>+D$41/'[8]Pron. 2008'!D$38*'[8]Pron. 2008'!D21</f>
        <v>78.446233370053406</v>
      </c>
      <c r="E24" s="352">
        <f>+E$41/'[8]Pron. 2008'!E$38*'[8]Pron. 2008'!E21</f>
        <v>81.281770836705306</v>
      </c>
      <c r="F24" s="352">
        <f>+F$41/'[8]Pron. 2008'!F$38*'[8]Pron. 2008'!F21</f>
        <v>83.708623547355302</v>
      </c>
      <c r="G24" s="352">
        <f>+G$41/'[8]Pron. 2008'!G$38*'[8]Pron. 2008'!G21</f>
        <v>89.79324429709304</v>
      </c>
      <c r="H24" s="352">
        <f>+H$41/'[8]Pron. 2008'!H$38*'[8]Pron. 2008'!H21</f>
        <v>95.695350096985081</v>
      </c>
      <c r="I24" s="352">
        <f>+I$41/'[8]Pron. 2008'!I$38*'[8]Pron. 2008'!I21</f>
        <v>100.67091390112513</v>
      </c>
      <c r="J24" s="352">
        <f>+J$41/'[8]Pron. 2008'!J$38*'[8]Pron. 2008'!J21</f>
        <v>106.82551723245997</v>
      </c>
      <c r="K24" s="352">
        <f>+K$41/'[8]Pron. 2008'!K$38*'[8]Pron. 2008'!K21</f>
        <v>113.26932213656107</v>
      </c>
      <c r="L24" s="352">
        <f>+L$41/'[8]Pron. 2008'!L$38*'[8]Pron. 2008'!L21</f>
        <v>120.58537070010946</v>
      </c>
      <c r="M24" s="352">
        <f>+M$41/'[8]Pron. 2008'!M$38*'[8]Pron. 2008'!M21</f>
        <v>127.30693409678418</v>
      </c>
      <c r="N24" s="352">
        <f>+N$41/'[8]Pron. 2008'!N$38*'[8]Pron. 2008'!N21</f>
        <v>135.54055910455926</v>
      </c>
      <c r="O24" s="352">
        <f>+O$41/'[8]Pron. 2008'!O$38*'[8]Pron. 2008'!O21</f>
        <v>142.90226252012539</v>
      </c>
      <c r="P24" s="352">
        <f>+P$41/'[8]Pron. 2008'!P$38*'[8]Pron. 2008'!P21</f>
        <v>150.58583170917717</v>
      </c>
      <c r="Q24" s="353">
        <f t="shared" si="2"/>
        <v>158.8172697229048</v>
      </c>
      <c r="R24" s="353">
        <f t="shared" si="2"/>
        <v>167.49866090290837</v>
      </c>
      <c r="S24" s="353">
        <f t="shared" si="2"/>
        <v>176.6546009336241</v>
      </c>
      <c r="T24" s="353">
        <f t="shared" si="2"/>
        <v>186.31102996761999</v>
      </c>
      <c r="U24" s="353">
        <f t="shared" si="2"/>
        <v>196.49530611794225</v>
      </c>
      <c r="V24" s="353">
        <f t="shared" si="2"/>
        <v>207.23628296775638</v>
      </c>
      <c r="W24" s="353">
        <f t="shared" si="2"/>
        <v>218.56439131687969</v>
      </c>
      <c r="X24" s="353">
        <f t="shared" si="2"/>
        <v>230.51172539680539</v>
      </c>
      <c r="Y24" s="353">
        <f t="shared" si="2"/>
        <v>243.11213379847825</v>
      </c>
      <c r="Z24" s="354">
        <f t="shared" si="2"/>
        <v>256.40131537043408</v>
      </c>
    </row>
    <row r="25" spans="1:26">
      <c r="A25" s="363" t="s">
        <v>137</v>
      </c>
      <c r="B25" s="352">
        <f>+B$41/'[8]Pron. 2008'!B$38*'[8]Pron. 2008'!B22</f>
        <v>101.72131219388186</v>
      </c>
      <c r="C25" s="352">
        <f>+C$41/'[8]Pron. 2008'!C$38*'[8]Pron. 2008'!C22</f>
        <v>97.375361915709135</v>
      </c>
      <c r="D25" s="352">
        <f>+D$41/'[8]Pron. 2008'!D$38*'[8]Pron. 2008'!D22</f>
        <v>106.55776933834561</v>
      </c>
      <c r="E25" s="352">
        <f>+E$41/'[8]Pron. 2008'!E$38*'[8]Pron. 2008'!E22</f>
        <v>110.4094335208234</v>
      </c>
      <c r="F25" s="352">
        <f>+F$41/'[8]Pron. 2008'!F$38*'[8]Pron. 2008'!F22</f>
        <v>113.7059590549391</v>
      </c>
      <c r="G25" s="352">
        <f>+G$41/'[8]Pron. 2008'!G$38*'[8]Pron. 2008'!G22</f>
        <v>121.97102911003464</v>
      </c>
      <c r="H25" s="352">
        <f>+H$41/'[8]Pron. 2008'!H$38*'[8]Pron. 2008'!H22</f>
        <v>129.98817921931564</v>
      </c>
      <c r="I25" s="352">
        <f>+I$41/'[8]Pron. 2008'!I$38*'[8]Pron. 2008'!I22</f>
        <v>136.74675713176609</v>
      </c>
      <c r="J25" s="352">
        <f>+J$41/'[8]Pron. 2008'!J$38*'[8]Pron. 2008'!J22</f>
        <v>145.10688831939999</v>
      </c>
      <c r="K25" s="352">
        <f>+K$41/'[8]Pron. 2008'!K$38*'[8]Pron. 2008'!K22</f>
        <v>153.85985767349806</v>
      </c>
      <c r="L25" s="352">
        <f>+L$41/'[8]Pron. 2008'!L$38*'[8]Pron. 2008'!L22</f>
        <v>163.7976428521084</v>
      </c>
      <c r="M25" s="352">
        <f>+M$41/'[8]Pron. 2008'!M$38*'[8]Pron. 2008'!M22</f>
        <v>172.92790661681005</v>
      </c>
      <c r="N25" s="352">
        <f>+N$41/'[8]Pron. 2008'!N$38*'[8]Pron. 2008'!N22</f>
        <v>184.11208559782227</v>
      </c>
      <c r="O25" s="352">
        <f>+O$41/'[8]Pron. 2008'!O$38*'[8]Pron. 2008'!O22</f>
        <v>194.11188623570308</v>
      </c>
      <c r="P25" s="352">
        <f>+P$41/'[8]Pron. 2008'!P$38*'[8]Pron. 2008'!P22</f>
        <v>204.54889459377105</v>
      </c>
      <c r="Q25" s="353">
        <f t="shared" si="2"/>
        <v>215.73010286226796</v>
      </c>
      <c r="R25" s="353">
        <f t="shared" si="2"/>
        <v>227.52250689690081</v>
      </c>
      <c r="S25" s="353">
        <f t="shared" si="2"/>
        <v>239.9595163485385</v>
      </c>
      <c r="T25" s="353">
        <f t="shared" si="2"/>
        <v>253.0763671319624</v>
      </c>
      <c r="U25" s="353">
        <f t="shared" si="2"/>
        <v>266.91022125450246</v>
      </c>
      <c r="V25" s="353">
        <f t="shared" si="2"/>
        <v>281.50027210158271</v>
      </c>
      <c r="W25" s="353">
        <f t="shared" si="2"/>
        <v>296.88785547746568</v>
      </c>
      <c r="X25" s="353">
        <f t="shared" si="2"/>
        <v>313.11656671579101</v>
      </c>
      <c r="Y25" s="353">
        <f t="shared" si="2"/>
        <v>330.23238419170013</v>
      </c>
      <c r="Z25" s="354">
        <f t="shared" si="2"/>
        <v>348.28379958547526</v>
      </c>
    </row>
    <row r="26" spans="1:26">
      <c r="A26" s="364" t="s">
        <v>138</v>
      </c>
      <c r="B26" s="352">
        <f>+B$41/'[8]Pron. 2008'!B$38*'[8]Pron. 2008'!B23</f>
        <v>0.21922696593509022</v>
      </c>
      <c r="C26" s="352">
        <f>+C$41/'[8]Pron. 2008'!C$38*'[8]Pron. 2008'!C23</f>
        <v>0.22401963310502465</v>
      </c>
      <c r="D26" s="352">
        <f>+D$41/'[8]Pron. 2008'!D$38*'[8]Pron. 2008'!D23</f>
        <v>0.24514447928141686</v>
      </c>
      <c r="E26" s="352">
        <f>+E$41/'[8]Pron. 2008'!E$38*'[8]Pron. 2008'!E23</f>
        <v>0.25400553386470404</v>
      </c>
      <c r="F26" s="352">
        <f>+F$41/'[8]Pron. 2008'!F$38*'[8]Pron. 2008'!F23</f>
        <v>0.26158944858548527</v>
      </c>
      <c r="G26" s="352">
        <f>+G$41/'[8]Pron. 2008'!G$38*'[8]Pron. 2008'!G23</f>
        <v>0.28060388842841566</v>
      </c>
      <c r="H26" s="352">
        <f>+H$41/'[8]Pron. 2008'!H$38*'[8]Pron. 2008'!H23</f>
        <v>0.29904796905307829</v>
      </c>
      <c r="I26" s="352">
        <f>+I$41/'[8]Pron. 2008'!I$38*'[8]Pron. 2008'!I23</f>
        <v>0.31459660594101591</v>
      </c>
      <c r="J26" s="352">
        <f>+J$41/'[8]Pron. 2008'!J$38*'[8]Pron. 2008'!J23</f>
        <v>0.33382974135143734</v>
      </c>
      <c r="K26" s="352">
        <f>+K$41/'[8]Pron. 2008'!K$38*'[8]Pron. 2008'!K23</f>
        <v>0.35396663167675324</v>
      </c>
      <c r="L26" s="352">
        <f>+L$41/'[8]Pron. 2008'!L$38*'[8]Pron. 2008'!L23</f>
        <v>0.37682928343784189</v>
      </c>
      <c r="M26" s="352">
        <f>+M$41/'[8]Pron. 2008'!M$38*'[8]Pron. 2008'!M23</f>
        <v>0.39783416905245034</v>
      </c>
      <c r="N26" s="352">
        <f>+N$41/'[8]Pron. 2008'!N$38*'[8]Pron. 2008'!N23</f>
        <v>0.42356424720174746</v>
      </c>
      <c r="O26" s="352">
        <f>+O$41/'[8]Pron. 2008'!O$38*'[8]Pron. 2008'!O23</f>
        <v>0.44656957037539163</v>
      </c>
      <c r="P26" s="352">
        <f>+P$41/'[8]Pron. 2008'!P$38*'[8]Pron. 2008'!P23</f>
        <v>0.47058072409117846</v>
      </c>
      <c r="Q26" s="353">
        <f t="shared" si="2"/>
        <v>0.49630396788407732</v>
      </c>
      <c r="R26" s="353">
        <f t="shared" si="2"/>
        <v>0.52343331532158854</v>
      </c>
      <c r="S26" s="353">
        <f t="shared" si="2"/>
        <v>0.55204562791757517</v>
      </c>
      <c r="T26" s="353">
        <f t="shared" si="2"/>
        <v>0.58222196864881237</v>
      </c>
      <c r="U26" s="353">
        <f t="shared" si="2"/>
        <v>0.61404783161856946</v>
      </c>
      <c r="V26" s="353">
        <f t="shared" si="2"/>
        <v>0.64761338427423865</v>
      </c>
      <c r="W26" s="353">
        <f t="shared" si="2"/>
        <v>0.68301372286524897</v>
      </c>
      <c r="X26" s="353">
        <f t="shared" si="2"/>
        <v>0.72034914186501675</v>
      </c>
      <c r="Y26" s="353">
        <f t="shared" si="2"/>
        <v>0.75972541812024441</v>
      </c>
      <c r="Z26" s="354">
        <f t="shared" si="2"/>
        <v>0.80125411053260631</v>
      </c>
    </row>
    <row r="27" spans="1:26">
      <c r="A27" s="364" t="s">
        <v>139</v>
      </c>
      <c r="B27" s="352">
        <f>+B$41/'[8]Pron. 2008'!B$38*'[8]Pron. 2008'!B24</f>
        <v>0</v>
      </c>
      <c r="C27" s="352">
        <f>+C$41/'[8]Pron. 2008'!C$38*'[8]Pron. 2008'!C24</f>
        <v>18.770708128635139</v>
      </c>
      <c r="D27" s="352">
        <f>+D$41/'[8]Pron. 2008'!D$38*'[8]Pron. 2008'!D24</f>
        <v>20.54076870923377</v>
      </c>
      <c r="E27" s="352">
        <f>+E$41/'[8]Pron. 2008'!E$38*'[8]Pron. 2008'!E24</f>
        <v>21.28324054971219</v>
      </c>
      <c r="F27" s="352">
        <f>+F$41/'[8]Pron. 2008'!F$38*'[8]Pron. 2008'!F24</f>
        <v>21.91870025350299</v>
      </c>
      <c r="G27" s="352">
        <f>+G$41/'[8]Pron. 2008'!G$38*'[8]Pron. 2008'!G24</f>
        <v>23.511928916429195</v>
      </c>
      <c r="H27" s="352">
        <f>+H$41/'[8]Pron. 2008'!H$38*'[8]Pron. 2008'!H24</f>
        <v>25.05736691803617</v>
      </c>
      <c r="I27" s="352">
        <f>+I$41/'[8]Pron. 2008'!I$38*'[8]Pron. 2008'!I24</f>
        <v>26.360194356757923</v>
      </c>
      <c r="J27" s="352">
        <f>+J$41/'[8]Pron. 2008'!J$38*'[8]Pron. 2008'!J24</f>
        <v>27.971747621905372</v>
      </c>
      <c r="K27" s="352">
        <f>+K$41/'[8]Pron. 2008'!K$38*'[8]Pron. 2008'!K24</f>
        <v>29.65902692718678</v>
      </c>
      <c r="L27" s="352">
        <f>+L$41/'[8]Pron. 2008'!L$38*'[8]Pron. 2008'!L24</f>
        <v>31.574699037286297</v>
      </c>
      <c r="M27" s="352">
        <f>+M$41/'[8]Pron. 2008'!M$38*'[8]Pron. 2008'!M24</f>
        <v>33.334708067219566</v>
      </c>
      <c r="N27" s="352">
        <f>+N$41/'[8]Pron. 2008'!N$38*'[8]Pron. 2008'!N24</f>
        <v>35.490643153681397</v>
      </c>
      <c r="O27" s="352">
        <f>+O$41/'[8]Pron. 2008'!O$38*'[8]Pron. 2008'!O24</f>
        <v>37.418269767081625</v>
      </c>
      <c r="P27" s="352">
        <f>+P$41/'[8]Pron. 2008'!P$38*'[8]Pron. 2008'!P24</f>
        <v>39.430175384387617</v>
      </c>
      <c r="Q27" s="353">
        <f t="shared" si="2"/>
        <v>41.585537816982367</v>
      </c>
      <c r="R27" s="353">
        <f t="shared" si="2"/>
        <v>43.858718320903279</v>
      </c>
      <c r="S27" s="353">
        <f t="shared" si="2"/>
        <v>46.256157157760697</v>
      </c>
      <c r="T27" s="353">
        <f t="shared" si="2"/>
        <v>48.784646631675436</v>
      </c>
      <c r="U27" s="353">
        <f t="shared" si="2"/>
        <v>51.45135033289602</v>
      </c>
      <c r="V27" s="353">
        <f t="shared" si="2"/>
        <v>54.263823433325214</v>
      </c>
      <c r="W27" s="353">
        <f t="shared" si="2"/>
        <v>57.230034091456183</v>
      </c>
      <c r="X27" s="353">
        <f t="shared" si="2"/>
        <v>60.358386027361661</v>
      </c>
      <c r="Y27" s="353">
        <f t="shared" si="2"/>
        <v>63.657742331694465</v>
      </c>
      <c r="Z27" s="354">
        <f t="shared" si="2"/>
        <v>67.137450576153796</v>
      </c>
    </row>
    <row r="28" spans="1:26">
      <c r="A28" s="364" t="s">
        <v>140</v>
      </c>
      <c r="B28" s="352">
        <f>+B$41/'[8]Pron. 2008'!B$38*'[8]Pron. 2008'!B25</f>
        <v>69.714175167358704</v>
      </c>
      <c r="C28" s="352">
        <f>+C$41/'[8]Pron. 2008'!C$38*'[8]Pron. 2008'!C25</f>
        <v>59.03728304378501</v>
      </c>
      <c r="D28" s="352">
        <f>+D$41/'[8]Pron. 2008'!D$38*'[8]Pron. 2008'!D25</f>
        <v>64.604444750488625</v>
      </c>
      <c r="E28" s="352">
        <f>+E$41/'[8]Pron. 2008'!E$38*'[8]Pron. 2008'!E25</f>
        <v>66.939653411662974</v>
      </c>
      <c r="F28" s="352">
        <f>+F$41/'[8]Pron. 2008'!F$38*'[8]Pron. 2008'!F25</f>
        <v>68.938289485407367</v>
      </c>
      <c r="G28" s="352">
        <f>+G$41/'[8]Pron. 2008'!G$38*'[8]Pron. 2008'!G25</f>
        <v>73.949282724557207</v>
      </c>
      <c r="H28" s="352">
        <f>+H$41/'[8]Pron. 2008'!H$38*'[8]Pron. 2008'!H25</f>
        <v>78.809965662155392</v>
      </c>
      <c r="I28" s="352">
        <f>+I$41/'[8]Pron. 2008'!I$38*'[8]Pron. 2008'!I25</f>
        <v>82.907594357350405</v>
      </c>
      <c r="J28" s="352">
        <f>+J$41/'[8]Pron. 2008'!J$38*'[8]Pron. 2008'!J25</f>
        <v>87.976221795518555</v>
      </c>
      <c r="K28" s="352">
        <f>+K$41/'[8]Pron. 2008'!K$38*'[8]Pron. 2008'!K25</f>
        <v>93.28302137053609</v>
      </c>
      <c r="L28" s="352">
        <f>+L$41/'[8]Pron. 2008'!L$38*'[8]Pron. 2008'!L25</f>
        <v>99.308157758997623</v>
      </c>
      <c r="M28" s="352">
        <f>+M$41/'[8]Pron. 2008'!M$38*'[8]Pron. 2008'!M25</f>
        <v>104.84370551498648</v>
      </c>
      <c r="N28" s="352">
        <f>+N$41/'[8]Pron. 2008'!N$38*'[8]Pron. 2008'!N25</f>
        <v>111.62451256026277</v>
      </c>
      <c r="O28" s="352">
        <f>+O$41/'[8]Pron. 2008'!O$38*'[8]Pron. 2008'!O25</f>
        <v>117.68724803077146</v>
      </c>
      <c r="P28" s="352">
        <f>+P$41/'[8]Pron. 2008'!P$38*'[8]Pron. 2008'!P25</f>
        <v>124.01505626114277</v>
      </c>
      <c r="Q28" s="353">
        <f t="shared" si="2"/>
        <v>130.79406220609803</v>
      </c>
      <c r="R28" s="353">
        <f t="shared" si="2"/>
        <v>137.94362736367799</v>
      </c>
      <c r="S28" s="353">
        <f t="shared" si="2"/>
        <v>145.48400752524441</v>
      </c>
      <c r="T28" s="353">
        <f t="shared" si="2"/>
        <v>153.43656571973324</v>
      </c>
      <c r="U28" s="353">
        <f t="shared" si="2"/>
        <v>161.82383273832261</v>
      </c>
      <c r="V28" s="353">
        <f t="shared" si="2"/>
        <v>170.66957096754643</v>
      </c>
      <c r="W28" s="353">
        <f t="shared" si="2"/>
        <v>179.9988417117026</v>
      </c>
      <c r="X28" s="353">
        <f t="shared" si="2"/>
        <v>189.83807619529017</v>
      </c>
      <c r="Y28" s="353">
        <f t="shared" si="2"/>
        <v>200.21515044663624</v>
      </c>
      <c r="Z28" s="354">
        <f t="shared" si="2"/>
        <v>211.15946427486875</v>
      </c>
    </row>
    <row r="29" spans="1:26">
      <c r="A29" s="364" t="s">
        <v>203</v>
      </c>
      <c r="B29" s="352">
        <f>+B$41/'[8]Pron. 2008'!B$38*'[8]Pron. 2008'!B26</f>
        <v>16.080297951338867</v>
      </c>
      <c r="C29" s="352">
        <f>+C$41/'[8]Pron. 2008'!C$38*'[8]Pron. 2008'!C26</f>
        <v>16.431840088253555</v>
      </c>
      <c r="D29" s="352">
        <f>+D$41/'[8]Pron. 2008'!D$38*'[8]Pron. 2008'!D26</f>
        <v>17.981347555291926</v>
      </c>
      <c r="E29" s="352">
        <f>+E$41/'[8]Pron. 2008'!E$38*'[8]Pron. 2008'!E26</f>
        <v>18.631305908976042</v>
      </c>
      <c r="F29" s="352">
        <f>+F$41/'[8]Pron. 2008'!F$38*'[8]Pron. 2008'!F26</f>
        <v>19.187586053745346</v>
      </c>
      <c r="G29" s="352">
        <f>+G$41/'[8]Pron. 2008'!G$38*'[8]Pron. 2008'!G26</f>
        <v>20.582295216224288</v>
      </c>
      <c r="H29" s="352">
        <f>+H$41/'[8]Pron. 2008'!H$38*'[8]Pron. 2008'!H26</f>
        <v>21.935168530043295</v>
      </c>
      <c r="I29" s="352">
        <f>+I$41/'[8]Pron. 2008'!I$38*'[8]Pron. 2008'!I26</f>
        <v>23.075661045773519</v>
      </c>
      <c r="J29" s="352">
        <f>+J$41/'[8]Pron. 2008'!J$38*'[8]Pron. 2008'!J26</f>
        <v>24.486411528127935</v>
      </c>
      <c r="K29" s="352">
        <f>+K$41/'[8]Pron. 2008'!K$38*'[8]Pron. 2008'!K26</f>
        <v>25.963452433489856</v>
      </c>
      <c r="L29" s="352">
        <f>+L$41/'[8]Pron. 2008'!L$38*'[8]Pron. 2008'!L26</f>
        <v>27.640427940165711</v>
      </c>
      <c r="M29" s="352">
        <f>+M$41/'[8]Pron. 2008'!M$38*'[8]Pron. 2008'!M26</f>
        <v>29.181136299997242</v>
      </c>
      <c r="N29" s="352">
        <f>+N$41/'[8]Pron. 2008'!N$38*'[8]Pron. 2008'!N26</f>
        <v>31.068437532248186</v>
      </c>
      <c r="O29" s="352">
        <f>+O$41/'[8]Pron. 2008'!O$38*'[8]Pron. 2008'!O26</f>
        <v>32.755877987034985</v>
      </c>
      <c r="P29" s="352">
        <f>+P$41/'[8]Pron. 2008'!P$38*'[8]Pron. 2008'!P26</f>
        <v>34.517096112087955</v>
      </c>
      <c r="Q29" s="353">
        <f t="shared" si="2"/>
        <v>36.403896044297085</v>
      </c>
      <c r="R29" s="353">
        <f t="shared" si="2"/>
        <v>38.393833678838533</v>
      </c>
      <c r="S29" s="353">
        <f t="shared" si="2"/>
        <v>40.492546807754152</v>
      </c>
      <c r="T29" s="353">
        <f t="shared" si="2"/>
        <v>42.705981400390399</v>
      </c>
      <c r="U29" s="353">
        <f t="shared" si="2"/>
        <v>45.040408449222085</v>
      </c>
      <c r="V29" s="353">
        <f t="shared" si="2"/>
        <v>47.502441736515415</v>
      </c>
      <c r="W29" s="353">
        <f t="shared" si="2"/>
        <v>50.099056572166027</v>
      </c>
      <c r="X29" s="353">
        <f t="shared" si="2"/>
        <v>52.837609555798991</v>
      </c>
      <c r="Y29" s="353">
        <f t="shared" si="2"/>
        <v>55.725859419119942</v>
      </c>
      <c r="Z29" s="354">
        <f t="shared" si="2"/>
        <v>58.771989007566688</v>
      </c>
    </row>
    <row r="30" spans="1:26">
      <c r="A30" s="364" t="s">
        <v>204</v>
      </c>
      <c r="B30" s="352">
        <f>+B$41/'[8]Pron. 2008'!B$38*'[8]Pron. 2008'!B27</f>
        <v>14.479941100012709</v>
      </c>
      <c r="C30" s="352">
        <f>+C$41/'[8]Pron. 2008'!C$38*'[8]Pron. 2008'!C27</f>
        <v>14.796496766586877</v>
      </c>
      <c r="D30" s="352">
        <f>+D$41/'[8]Pron. 2008'!D$38*'[8]Pron. 2008'!D27</f>
        <v>16.191792856537582</v>
      </c>
      <c r="E30" s="352">
        <f>+E$41/'[8]Pron. 2008'!E$38*'[8]Pron. 2008'!E27</f>
        <v>16.777065511763698</v>
      </c>
      <c r="F30" s="352">
        <f>+F$41/'[8]Pron. 2008'!F$38*'[8]Pron. 2008'!F27</f>
        <v>17.277983079071298</v>
      </c>
      <c r="G30" s="352">
        <f>+G$41/'[8]Pron. 2008'!G$38*'[8]Pron. 2008'!G27</f>
        <v>18.533886830696851</v>
      </c>
      <c r="H30" s="352">
        <f>+H$41/'[8]Pron. 2008'!H$38*'[8]Pron. 2008'!H27</f>
        <v>19.752118355955815</v>
      </c>
      <c r="I30" s="352">
        <f>+I$41/'[8]Pron. 2008'!I$38*'[8]Pron. 2008'!I27</f>
        <v>20.779105822404098</v>
      </c>
      <c r="J30" s="352">
        <f>+J$41/'[8]Pron. 2008'!J$38*'[8]Pron. 2008'!J27</f>
        <v>22.049454416262435</v>
      </c>
      <c r="K30" s="352">
        <f>+K$41/'[8]Pron. 2008'!K$38*'[8]Pron. 2008'!K27</f>
        <v>23.379496022249551</v>
      </c>
      <c r="L30" s="352">
        <f>+L$41/'[8]Pron. 2008'!L$38*'[8]Pron. 2008'!L27</f>
        <v>24.889574171069459</v>
      </c>
      <c r="M30" s="352">
        <f>+M$41/'[8]Pron. 2008'!M$38*'[8]Pron. 2008'!M27</f>
        <v>26.276946865914347</v>
      </c>
      <c r="N30" s="352">
        <f>+N$41/'[8]Pron. 2008'!N$38*'[8]Pron. 2008'!N27</f>
        <v>27.976418527675424</v>
      </c>
      <c r="O30" s="352">
        <f>+O$41/'[8]Pron. 2008'!O$38*'[8]Pron. 2008'!O27</f>
        <v>29.495920123294621</v>
      </c>
      <c r="P30" s="352">
        <f>+P$41/'[8]Pron. 2008'!P$38*'[8]Pron. 2008'!P27</f>
        <v>31.081856826222339</v>
      </c>
      <c r="Q30" s="353">
        <f t="shared" si="2"/>
        <v>32.780877078743309</v>
      </c>
      <c r="R30" s="353">
        <f t="shared" si="2"/>
        <v>34.572770476990925</v>
      </c>
      <c r="S30" s="353">
        <f t="shared" si="2"/>
        <v>36.46261372395584</v>
      </c>
      <c r="T30" s="353">
        <f t="shared" si="2"/>
        <v>38.455761029254056</v>
      </c>
      <c r="U30" s="353">
        <f t="shared" si="2"/>
        <v>40.557859278406511</v>
      </c>
      <c r="V30" s="353">
        <f t="shared" si="2"/>
        <v>42.774864031313456</v>
      </c>
      <c r="W30" s="353">
        <f t="shared" si="2"/>
        <v>45.113056395249686</v>
      </c>
      <c r="X30" s="353">
        <f t="shared" si="2"/>
        <v>47.579060820184345</v>
      </c>
      <c r="Y30" s="353">
        <f t="shared" si="2"/>
        <v>50.179863866842133</v>
      </c>
      <c r="Z30" s="354">
        <f t="shared" si="2"/>
        <v>52.922834000678634</v>
      </c>
    </row>
    <row r="31" spans="1:26">
      <c r="A31" s="364" t="s">
        <v>205</v>
      </c>
      <c r="B31" s="352">
        <f>+B$41/'[8]Pron. 2008'!B$38*'[8]Pron. 2008'!B28</f>
        <v>1.589395503029404</v>
      </c>
      <c r="C31" s="352">
        <f>+C$41/'[8]Pron. 2008'!C$38*'[8]Pron. 2008'!C28</f>
        <v>1.6241423400114285</v>
      </c>
      <c r="D31" s="352">
        <f>+D$41/'[8]Pron. 2008'!D$38*'[8]Pron. 2008'!D28</f>
        <v>1.7772974747902721</v>
      </c>
      <c r="E31" s="352">
        <f>+E$41/'[8]Pron. 2008'!E$38*'[8]Pron. 2008'!E28</f>
        <v>1.8415401205191042</v>
      </c>
      <c r="F31" s="352">
        <f>+F$41/'[8]Pron. 2008'!F$38*'[8]Pron. 2008'!F28</f>
        <v>1.8965235022447682</v>
      </c>
      <c r="G31" s="352">
        <f>+G$41/'[8]Pron. 2008'!G$38*'[8]Pron. 2008'!G28</f>
        <v>2.0343781911060135</v>
      </c>
      <c r="H31" s="352">
        <f>+H$41/'[8]Pron. 2008'!H$38*'[8]Pron. 2008'!H28</f>
        <v>2.1680977756348172</v>
      </c>
      <c r="I31" s="352">
        <f>+I$41/'[8]Pron. 2008'!I$38*'[8]Pron. 2008'!I28</f>
        <v>2.280825393072365</v>
      </c>
      <c r="J31" s="352">
        <f>+J$41/'[8]Pron. 2008'!J$38*'[8]Pron. 2008'!J28</f>
        <v>2.4202656247979202</v>
      </c>
      <c r="K31" s="352">
        <f>+K$41/'[8]Pron. 2008'!K$38*'[8]Pron. 2008'!K28</f>
        <v>2.56625807965646</v>
      </c>
      <c r="L31" s="352">
        <f>+L$41/'[8]Pron. 2008'!L$38*'[8]Pron. 2008'!L28</f>
        <v>2.7320123049243534</v>
      </c>
      <c r="M31" s="352">
        <f>+M$41/'[8]Pron. 2008'!M$38*'[8]Pron. 2008'!M28</f>
        <v>2.8842977256302644</v>
      </c>
      <c r="N31" s="352">
        <f>+N$41/'[8]Pron. 2008'!N$38*'[8]Pron. 2008'!N28</f>
        <v>3.0708407922126688</v>
      </c>
      <c r="O31" s="352">
        <f>+O$41/'[8]Pron. 2008'!O$38*'[8]Pron. 2008'!O28</f>
        <v>3.2376293852215889</v>
      </c>
      <c r="P31" s="352">
        <f>+P$41/'[8]Pron. 2008'!P$38*'[8]Pron. 2008'!P28</f>
        <v>3.4117102496610432</v>
      </c>
      <c r="Q31" s="353">
        <f t="shared" si="2"/>
        <v>3.5982037671595597</v>
      </c>
      <c r="R31" s="353">
        <f t="shared" si="2"/>
        <v>3.7948915360815159</v>
      </c>
      <c r="S31" s="353">
        <f t="shared" si="2"/>
        <v>4.0023308024024189</v>
      </c>
      <c r="T31" s="353">
        <f t="shared" si="2"/>
        <v>4.2211092727038881</v>
      </c>
      <c r="U31" s="353">
        <f t="shared" si="2"/>
        <v>4.4518467792346268</v>
      </c>
      <c r="V31" s="353">
        <f t="shared" si="2"/>
        <v>4.6951970359882278</v>
      </c>
      <c r="W31" s="353">
        <f t="shared" si="2"/>
        <v>4.9518494907730526</v>
      </c>
      <c r="X31" s="353">
        <f t="shared" si="2"/>
        <v>5.2225312785213687</v>
      </c>
      <c r="Y31" s="353">
        <f t="shared" si="2"/>
        <v>5.5080092813717689</v>
      </c>
      <c r="Z31" s="354">
        <f t="shared" si="2"/>
        <v>5.8090923013613924</v>
      </c>
    </row>
    <row r="32" spans="1:26">
      <c r="A32" s="364" t="s">
        <v>206</v>
      </c>
      <c r="B32" s="352">
        <f>+B$41/'[8]Pron. 2008'!B$38*'[8]Pron. 2008'!B29</f>
        <v>2.4114966252859928</v>
      </c>
      <c r="C32" s="352">
        <f>+C$41/'[8]Pron. 2008'!C$38*'[8]Pron. 2008'!C29</f>
        <v>2.4642159641552719</v>
      </c>
      <c r="D32" s="352">
        <f>+D$41/'[8]Pron. 2008'!D$38*'[8]Pron. 2008'!D29</f>
        <v>2.696589272095586</v>
      </c>
      <c r="E32" s="352">
        <f>+E$41/'[8]Pron. 2008'!E$38*'[8]Pron. 2008'!E29</f>
        <v>2.7940608725117451</v>
      </c>
      <c r="F32" s="352">
        <f>+F$41/'[8]Pron. 2008'!F$38*'[8]Pron. 2008'!F29</f>
        <v>2.8774839344403387</v>
      </c>
      <c r="G32" s="352">
        <f>+G$41/'[8]Pron. 2008'!G$38*'[8]Pron. 2008'!G29</f>
        <v>3.0866427727125734</v>
      </c>
      <c r="H32" s="352">
        <f>+H$41/'[8]Pron. 2008'!H$38*'[8]Pron. 2008'!H29</f>
        <v>3.2895276595838618</v>
      </c>
      <c r="I32" s="352">
        <f>+I$41/'[8]Pron. 2008'!I$38*'[8]Pron. 2008'!I29</f>
        <v>3.4605626653511758</v>
      </c>
      <c r="J32" s="352">
        <f>+J$41/'[8]Pron. 2008'!J$38*'[8]Pron. 2008'!J29</f>
        <v>3.672127154865811</v>
      </c>
      <c r="K32" s="352">
        <f>+K$41/'[8]Pron. 2008'!K$38*'[8]Pron. 2008'!K29</f>
        <v>3.8936329484442864</v>
      </c>
      <c r="L32" s="352">
        <f>+L$41/'[8]Pron. 2008'!L$38*'[8]Pron. 2008'!L29</f>
        <v>4.1451221178162614</v>
      </c>
      <c r="M32" s="352">
        <f>+M$41/'[8]Pron. 2008'!M$38*'[8]Pron. 2008'!M29</f>
        <v>4.3761758595769553</v>
      </c>
      <c r="N32" s="352">
        <f>+N$41/'[8]Pron. 2008'!N$38*'[8]Pron. 2008'!N29</f>
        <v>4.6592067192192239</v>
      </c>
      <c r="O32" s="352">
        <f>+O$41/'[8]Pron. 2008'!O$38*'[8]Pron. 2008'!O29</f>
        <v>4.91226527412931</v>
      </c>
      <c r="P32" s="352">
        <f>+P$41/'[8]Pron. 2008'!P$38*'[8]Pron. 2008'!P29</f>
        <v>5.1763879650029656</v>
      </c>
      <c r="Q32" s="353">
        <f t="shared" si="2"/>
        <v>5.4593436467248528</v>
      </c>
      <c r="R32" s="353">
        <f t="shared" si="2"/>
        <v>5.7577664685374756</v>
      </c>
      <c r="S32" s="353">
        <f t="shared" si="2"/>
        <v>6.0725019070933284</v>
      </c>
      <c r="T32" s="353">
        <f t="shared" si="2"/>
        <v>6.4044416551369379</v>
      </c>
      <c r="U32" s="353">
        <f t="shared" si="2"/>
        <v>6.754526147804266</v>
      </c>
      <c r="V32" s="353">
        <f t="shared" si="2"/>
        <v>7.1237472270166267</v>
      </c>
      <c r="W32" s="353">
        <f t="shared" si="2"/>
        <v>7.5131509515177406</v>
      </c>
      <c r="X32" s="353">
        <f t="shared" si="2"/>
        <v>7.9238405605151865</v>
      </c>
      <c r="Y32" s="353">
        <f t="shared" si="2"/>
        <v>8.3569795993226919</v>
      </c>
      <c r="Z32" s="354">
        <f t="shared" si="2"/>
        <v>8.8137952158586721</v>
      </c>
    </row>
    <row r="33" spans="1:27">
      <c r="A33" s="364" t="s">
        <v>207</v>
      </c>
      <c r="B33" s="352">
        <f>+B$41/'[8]Pron. 2008'!B$38*'[8]Pron. 2008'!B30</f>
        <v>2.4114966252859928</v>
      </c>
      <c r="C33" s="352">
        <f>+C$41/'[8]Pron. 2008'!C$38*'[8]Pron. 2008'!C30</f>
        <v>2.4642159641552719</v>
      </c>
      <c r="D33" s="352">
        <f>+D$41/'[8]Pron. 2008'!D$38*'[8]Pron. 2008'!D30</f>
        <v>2.696589272095586</v>
      </c>
      <c r="E33" s="352">
        <f>+E$41/'[8]Pron. 2008'!E$38*'[8]Pron. 2008'!E30</f>
        <v>2.7940608725117451</v>
      </c>
      <c r="F33" s="352">
        <f>+F$41/'[8]Pron. 2008'!F$38*'[8]Pron. 2008'!F30</f>
        <v>2.8774839344403387</v>
      </c>
      <c r="G33" s="352">
        <f>+G$41/'[8]Pron. 2008'!G$38*'[8]Pron. 2008'!G30</f>
        <v>3.0866427727125734</v>
      </c>
      <c r="H33" s="352">
        <f>+H$41/'[8]Pron. 2008'!H$38*'[8]Pron. 2008'!H30</f>
        <v>3.2895276595838618</v>
      </c>
      <c r="I33" s="352">
        <f>+I$41/'[8]Pron. 2008'!I$38*'[8]Pron. 2008'!I30</f>
        <v>3.4605626653511758</v>
      </c>
      <c r="J33" s="352">
        <f>+J$41/'[8]Pron. 2008'!J$38*'[8]Pron. 2008'!J30</f>
        <v>3.672127154865811</v>
      </c>
      <c r="K33" s="352">
        <f>+K$41/'[8]Pron. 2008'!K$38*'[8]Pron. 2008'!K30</f>
        <v>3.8936329484442864</v>
      </c>
      <c r="L33" s="352">
        <f>+L$41/'[8]Pron. 2008'!L$38*'[8]Pron. 2008'!L30</f>
        <v>4.1451221178162614</v>
      </c>
      <c r="M33" s="352">
        <f>+M$41/'[8]Pron. 2008'!M$38*'[8]Pron. 2008'!M30</f>
        <v>4.3761758595769553</v>
      </c>
      <c r="N33" s="352">
        <f>+N$41/'[8]Pron. 2008'!N$38*'[8]Pron. 2008'!N30</f>
        <v>4.6592067192192239</v>
      </c>
      <c r="O33" s="352">
        <f>+O$41/'[8]Pron. 2008'!O$38*'[8]Pron. 2008'!O30</f>
        <v>4.91226527412931</v>
      </c>
      <c r="P33" s="352">
        <f>+P$41/'[8]Pron. 2008'!P$38*'[8]Pron. 2008'!P30</f>
        <v>5.1763879650029656</v>
      </c>
      <c r="Q33" s="353">
        <f t="shared" si="2"/>
        <v>5.4593436467248528</v>
      </c>
      <c r="R33" s="353">
        <f t="shared" si="2"/>
        <v>5.7577664685374756</v>
      </c>
      <c r="S33" s="353">
        <f t="shared" si="2"/>
        <v>6.0725019070933284</v>
      </c>
      <c r="T33" s="353">
        <f t="shared" si="2"/>
        <v>6.4044416551369379</v>
      </c>
      <c r="U33" s="353">
        <f t="shared" si="2"/>
        <v>6.754526147804266</v>
      </c>
      <c r="V33" s="353">
        <f t="shared" si="2"/>
        <v>7.1237472270166267</v>
      </c>
      <c r="W33" s="353">
        <f t="shared" si="2"/>
        <v>7.5131509515177406</v>
      </c>
      <c r="X33" s="353">
        <f t="shared" si="2"/>
        <v>7.9238405605151865</v>
      </c>
      <c r="Y33" s="353">
        <f t="shared" si="2"/>
        <v>8.3569795993226919</v>
      </c>
      <c r="Z33" s="354">
        <f t="shared" si="2"/>
        <v>8.8137952158586721</v>
      </c>
    </row>
    <row r="34" spans="1:27" s="268" customFormat="1">
      <c r="A34" s="357" t="s">
        <v>52</v>
      </c>
      <c r="B34" s="358">
        <f>+B$41/'[8]Pron. 2008'!B$38*'[8]Pron. 2008'!B31</f>
        <v>549.52527416119392</v>
      </c>
      <c r="C34" s="358">
        <f>+C$41/'[8]Pron. 2008'!C$38*'[8]Pron. 2008'!C31</f>
        <v>561.53881332270998</v>
      </c>
      <c r="D34" s="358">
        <f>+D$41/'[8]Pron. 2008'!D$38*'[8]Pron. 2008'!D31</f>
        <v>614.49140899076349</v>
      </c>
      <c r="E34" s="358">
        <f>+E$41/'[8]Pron. 2008'!E$38*'[8]Pron. 2008'!E31</f>
        <v>636.70297146196037</v>
      </c>
      <c r="F34" s="358">
        <f>+F$41/'[8]Pron. 2008'!F$38*'[8]Pron. 2008'!F31</f>
        <v>655.7131912968066</v>
      </c>
      <c r="G34" s="358">
        <f>+G$41/'[8]Pron. 2008'!G$38*'[8]Pron. 2008'!G31</f>
        <v>703.37573692908813</v>
      </c>
      <c r="H34" s="358">
        <f>+H$41/'[8]Pron. 2008'!H$38*'[8]Pron. 2008'!H31</f>
        <v>749.60859162689871</v>
      </c>
      <c r="I34" s="358">
        <f>+I$41/'[8]Pron. 2008'!I$38*'[8]Pron. 2008'!I31</f>
        <v>788.58358228204747</v>
      </c>
      <c r="J34" s="358">
        <f>+J$41/'[8]Pron. 2008'!J$38*'[8]Pron. 2008'!J31</f>
        <v>836.79432115858037</v>
      </c>
      <c r="K34" s="358">
        <f>+K$41/'[8]Pron. 2008'!K$38*'[8]Pron. 2008'!K31</f>
        <v>887.27045729253348</v>
      </c>
      <c r="L34" s="358">
        <f>+L$41/'[8]Pron. 2008'!L$38*'[8]Pron. 2008'!L31</f>
        <v>944.57912332946637</v>
      </c>
      <c r="M34" s="358">
        <f>+M$41/'[8]Pron. 2008'!M$38*'[8]Pron. 2008'!M31</f>
        <v>997.2310198553248</v>
      </c>
      <c r="N34" s="358">
        <f>+N$41/'[8]Pron. 2008'!N$38*'[8]Pron. 2008'!N31</f>
        <v>1061.7273202482604</v>
      </c>
      <c r="O34" s="358">
        <f>+O$41/'[8]Pron. 2008'!O$38*'[8]Pron. 2008'!O31</f>
        <v>1119.3936135814756</v>
      </c>
      <c r="P34" s="358">
        <f>+P$41/'[8]Pron. 2008'!P$38*'[8]Pron. 2008'!P31</f>
        <v>1179.5811720431527</v>
      </c>
      <c r="Q34" s="358">
        <f t="shared" si="2"/>
        <v>1244.0603410966226</v>
      </c>
      <c r="R34" s="358">
        <f t="shared" si="2"/>
        <v>1312.0641198508599</v>
      </c>
      <c r="S34" s="358">
        <f t="shared" si="2"/>
        <v>1383.7851732195898</v>
      </c>
      <c r="T34" s="358">
        <f t="shared" si="2"/>
        <v>1459.4266977135455</v>
      </c>
      <c r="U34" s="358">
        <f t="shared" si="2"/>
        <v>1539.2029971266873</v>
      </c>
      <c r="V34" s="358">
        <f t="shared" si="2"/>
        <v>1623.3400896910205</v>
      </c>
      <c r="W34" s="358">
        <f t="shared" si="2"/>
        <v>1712.0763484201766</v>
      </c>
      <c r="X34" s="358">
        <f t="shared" si="2"/>
        <v>1805.6631764559445</v>
      </c>
      <c r="Y34" s="358">
        <f t="shared" si="2"/>
        <v>1904.365719331111</v>
      </c>
      <c r="Z34" s="359">
        <f t="shared" si="2"/>
        <v>2008.4636161665578</v>
      </c>
    </row>
    <row r="35" spans="1:27">
      <c r="A35" s="360"/>
      <c r="B35" s="352" t="s">
        <v>202</v>
      </c>
      <c r="C35" s="352" t="s">
        <v>202</v>
      </c>
      <c r="D35" s="352" t="s">
        <v>202</v>
      </c>
      <c r="E35" s="352" t="s">
        <v>202</v>
      </c>
      <c r="F35" s="352" t="s">
        <v>202</v>
      </c>
      <c r="G35" s="352" t="s">
        <v>202</v>
      </c>
      <c r="H35" s="352" t="s">
        <v>202</v>
      </c>
      <c r="I35" s="352" t="s">
        <v>202</v>
      </c>
      <c r="J35" s="352" t="s">
        <v>202</v>
      </c>
      <c r="K35" s="352" t="s">
        <v>202</v>
      </c>
      <c r="L35" s="352" t="s">
        <v>202</v>
      </c>
      <c r="M35" s="352" t="s">
        <v>202</v>
      </c>
      <c r="N35" s="352" t="s">
        <v>202</v>
      </c>
      <c r="O35" s="352" t="s">
        <v>202</v>
      </c>
      <c r="P35" s="352" t="s">
        <v>202</v>
      </c>
      <c r="Q35" s="353" t="s">
        <v>202</v>
      </c>
      <c r="R35" s="353" t="s">
        <v>202</v>
      </c>
      <c r="S35" s="353" t="s">
        <v>202</v>
      </c>
      <c r="T35" s="353" t="s">
        <v>202</v>
      </c>
      <c r="U35" s="353" t="s">
        <v>202</v>
      </c>
      <c r="V35" s="353" t="s">
        <v>202</v>
      </c>
      <c r="W35" s="353" t="s">
        <v>202</v>
      </c>
      <c r="X35" s="353" t="s">
        <v>202</v>
      </c>
      <c r="Y35" s="353" t="s">
        <v>202</v>
      </c>
      <c r="Z35" s="354" t="s">
        <v>202</v>
      </c>
    </row>
    <row r="36" spans="1:27">
      <c r="A36" s="361" t="s">
        <v>124</v>
      </c>
      <c r="B36" s="352" t="s">
        <v>202</v>
      </c>
      <c r="C36" s="352" t="s">
        <v>202</v>
      </c>
      <c r="D36" s="352" t="s">
        <v>202</v>
      </c>
      <c r="E36" s="352" t="s">
        <v>202</v>
      </c>
      <c r="F36" s="352" t="s">
        <v>202</v>
      </c>
      <c r="G36" s="352" t="s">
        <v>202</v>
      </c>
      <c r="H36" s="352" t="s">
        <v>202</v>
      </c>
      <c r="I36" s="352" t="s">
        <v>202</v>
      </c>
      <c r="J36" s="352" t="s">
        <v>202</v>
      </c>
      <c r="K36" s="352" t="s">
        <v>202</v>
      </c>
      <c r="L36" s="352" t="s">
        <v>202</v>
      </c>
      <c r="M36" s="352" t="s">
        <v>202</v>
      </c>
      <c r="N36" s="352" t="s">
        <v>202</v>
      </c>
      <c r="O36" s="352" t="s">
        <v>202</v>
      </c>
      <c r="P36" s="352" t="s">
        <v>202</v>
      </c>
      <c r="Q36" s="353" t="s">
        <v>202</v>
      </c>
      <c r="R36" s="353" t="s">
        <v>202</v>
      </c>
      <c r="S36" s="353" t="s">
        <v>202</v>
      </c>
      <c r="T36" s="353" t="s">
        <v>202</v>
      </c>
      <c r="U36" s="353" t="s">
        <v>202</v>
      </c>
      <c r="V36" s="353" t="s">
        <v>202</v>
      </c>
      <c r="W36" s="353" t="s">
        <v>202</v>
      </c>
      <c r="X36" s="353" t="s">
        <v>202</v>
      </c>
      <c r="Y36" s="353" t="s">
        <v>202</v>
      </c>
      <c r="Z36" s="354" t="s">
        <v>202</v>
      </c>
    </row>
    <row r="37" spans="1:27">
      <c r="A37" s="355" t="s">
        <v>141</v>
      </c>
      <c r="B37" s="352">
        <f>+B$41/'[8]Pron. 2008'!B$38*'[8]Pron. 2008'!B34</f>
        <v>60.791637653800521</v>
      </c>
      <c r="C37" s="352">
        <f>+C$41/'[8]Pron. 2008'!C$38*'[8]Pron. 2008'!C34</f>
        <v>62.120644260023333</v>
      </c>
      <c r="D37" s="352">
        <f>+D$41/'[8]Pron. 2008'!D$38*'[8]Pron. 2008'!D34</f>
        <v>67.97856410473689</v>
      </c>
      <c r="E37" s="352">
        <f>+E$41/'[8]Pron. 2008'!E$38*'[8]Pron. 2008'!E34</f>
        <v>70.435734540682446</v>
      </c>
      <c r="F37" s="352">
        <f>+F$41/'[8]Pron. 2008'!F$38*'[8]Pron. 2008'!F34</f>
        <v>72.538754092755084</v>
      </c>
      <c r="G37" s="352">
        <f>+G$41/'[8]Pron. 2008'!G$38*'[8]Pron. 2008'!G34</f>
        <v>77.811458261199689</v>
      </c>
      <c r="H37" s="352">
        <f>+H$41/'[8]Pron. 2008'!H$38*'[8]Pron. 2008'!H34</f>
        <v>82.926001818418641</v>
      </c>
      <c r="I37" s="352">
        <f>+I$41/'[8]Pron. 2008'!I$38*'[8]Pron. 2008'!I34</f>
        <v>87.237638827443732</v>
      </c>
      <c r="J37" s="352">
        <f>+J$41/'[8]Pron. 2008'!J$38*'[8]Pron. 2008'!J34</f>
        <v>92.570987276753598</v>
      </c>
      <c r="K37" s="352">
        <f>+K$41/'[8]Pron. 2008'!K$38*'[8]Pron. 2008'!K34</f>
        <v>98.15494696396371</v>
      </c>
      <c r="L37" s="352">
        <f>+L$41/'[8]Pron. 2008'!L$38*'[8]Pron. 2008'!L34</f>
        <v>104.49476029731362</v>
      </c>
      <c r="M37" s="352">
        <f>+M$41/'[8]Pron. 2008'!M$38*'[8]Pron. 2008'!M34</f>
        <v>110.31941507824455</v>
      </c>
      <c r="N37" s="352">
        <f>+N$41/'[8]Pron. 2008'!N$38*'[8]Pron. 2008'!N34</f>
        <v>117.45436574904463</v>
      </c>
      <c r="O37" s="352">
        <f>+O$41/'[8]Pron. 2008'!O$38*'[8]Pron. 2008'!O34</f>
        <v>123.83374186509616</v>
      </c>
      <c r="P37" s="352">
        <f>+P$41/'[8]Pron. 2008'!P$38*'[8]Pron. 2008'!P34</f>
        <v>130.49203479048387</v>
      </c>
      <c r="Q37" s="353">
        <f t="shared" si="2"/>
        <v>137.62509029425473</v>
      </c>
      <c r="R37" s="353">
        <f t="shared" si="2"/>
        <v>145.14805833867658</v>
      </c>
      <c r="S37" s="353">
        <f t="shared" si="2"/>
        <v>153.08225262154366</v>
      </c>
      <c r="T37" s="353">
        <f t="shared" si="2"/>
        <v>161.45015190631574</v>
      </c>
      <c r="U37" s="353">
        <f t="shared" si="2"/>
        <v>170.27546370782937</v>
      </c>
      <c r="V37" s="353">
        <f t="shared" si="2"/>
        <v>179.58319145924645</v>
      </c>
      <c r="W37" s="353">
        <f t="shared" si="2"/>
        <v>189.39970535053362</v>
      </c>
      <c r="X37" s="353">
        <f t="shared" si="2"/>
        <v>199.75281703916923</v>
      </c>
      <c r="Y37" s="353">
        <f t="shared" si="2"/>
        <v>210.67185844474386</v>
      </c>
      <c r="Z37" s="354">
        <f t="shared" si="2"/>
        <v>222.18776485069182</v>
      </c>
    </row>
    <row r="38" spans="1:27">
      <c r="A38" s="355" t="s">
        <v>142</v>
      </c>
      <c r="B38" s="352">
        <f>+B$41/'[8]Pron. 2008'!B$38*'[8]Pron. 2008'!B35</f>
        <v>12.057483126429963</v>
      </c>
      <c r="C38" s="352">
        <f>+C$41/'[8]Pron. 2008'!C$38*'[8]Pron. 2008'!C35</f>
        <v>12.321079820776356</v>
      </c>
      <c r="D38" s="352">
        <f>+D$41/'[8]Pron. 2008'!D$38*'[8]Pron. 2008'!D35</f>
        <v>13.482946360477927</v>
      </c>
      <c r="E38" s="352">
        <f>+E$41/'[8]Pron. 2008'!E$38*'[8]Pron. 2008'!E35</f>
        <v>13.970304362558725</v>
      </c>
      <c r="F38" s="352">
        <f>+F$41/'[8]Pron. 2008'!F$38*'[8]Pron. 2008'!F35</f>
        <v>14.387419672201696</v>
      </c>
      <c r="G38" s="352">
        <f>+G$41/'[8]Pron. 2008'!G$38*'[8]Pron. 2008'!G35</f>
        <v>15.433213863562866</v>
      </c>
      <c r="H38" s="352">
        <f>+H$41/'[8]Pron. 2008'!H$38*'[8]Pron. 2008'!H35</f>
        <v>16.447638297919312</v>
      </c>
      <c r="I38" s="352">
        <f>+I$41/'[8]Pron. 2008'!I$38*'[8]Pron. 2008'!I35</f>
        <v>17.302813326755878</v>
      </c>
      <c r="J38" s="352">
        <f>+J$41/'[8]Pron. 2008'!J$38*'[8]Pron. 2008'!J35</f>
        <v>18.360635774329054</v>
      </c>
      <c r="K38" s="352">
        <f>+K$41/'[8]Pron. 2008'!K$38*'[8]Pron. 2008'!K35</f>
        <v>19.468164742221436</v>
      </c>
      <c r="L38" s="352">
        <f>+L$41/'[8]Pron. 2008'!L$38*'[8]Pron. 2008'!L35</f>
        <v>20.725610589081313</v>
      </c>
      <c r="M38" s="352">
        <f>+M$41/'[8]Pron. 2008'!M$38*'[8]Pron. 2008'!M35</f>
        <v>21.880879297884782</v>
      </c>
      <c r="N38" s="352">
        <f>+N$41/'[8]Pron. 2008'!N$38*'[8]Pron. 2008'!N35</f>
        <v>23.296033596096116</v>
      </c>
      <c r="O38" s="352">
        <f>+O$41/'[8]Pron. 2008'!O$38*'[8]Pron. 2008'!O35</f>
        <v>24.561326370646544</v>
      </c>
      <c r="P38" s="352">
        <f>+P$41/'[8]Pron. 2008'!P$38*'[8]Pron. 2008'!P35</f>
        <v>25.881939825014818</v>
      </c>
      <c r="Q38" s="353">
        <f t="shared" si="2"/>
        <v>27.296718233624254</v>
      </c>
      <c r="R38" s="353">
        <f t="shared" si="2"/>
        <v>28.788832342687371</v>
      </c>
      <c r="S38" s="353">
        <f t="shared" si="2"/>
        <v>30.362509535466636</v>
      </c>
      <c r="T38" s="353">
        <f t="shared" si="2"/>
        <v>32.022208275684683</v>
      </c>
      <c r="U38" s="353">
        <f t="shared" si="2"/>
        <v>33.772630739021324</v>
      </c>
      <c r="V38" s="353">
        <f t="shared" si="2"/>
        <v>35.618736135083125</v>
      </c>
      <c r="W38" s="353">
        <f t="shared" si="2"/>
        <v>37.565754757588692</v>
      </c>
      <c r="X38" s="353">
        <f t="shared" si="2"/>
        <v>39.61920280257592</v>
      </c>
      <c r="Y38" s="353">
        <f t="shared" si="2"/>
        <v>41.784897996613445</v>
      </c>
      <c r="Z38" s="354">
        <f t="shared" si="2"/>
        <v>44.06897607929335</v>
      </c>
    </row>
    <row r="39" spans="1:27" s="268" customFormat="1">
      <c r="A39" s="357" t="s">
        <v>52</v>
      </c>
      <c r="B39" s="358">
        <f>+B$41/'[8]Pron. 2008'!B$38*'[8]Pron. 2008'!B36</f>
        <v>72.849120780230493</v>
      </c>
      <c r="C39" s="358">
        <f>+C$41/'[8]Pron. 2008'!C$38*'[8]Pron. 2008'!C36</f>
        <v>74.441724080799702</v>
      </c>
      <c r="D39" s="358">
        <f>+D$41/'[8]Pron. 2008'!D$38*'[8]Pron. 2008'!D36</f>
        <v>81.461510465214829</v>
      </c>
      <c r="E39" s="358">
        <f>+E$41/'[8]Pron. 2008'!E$38*'[8]Pron. 2008'!E36</f>
        <v>84.406038903241168</v>
      </c>
      <c r="F39" s="358">
        <f>+F$41/'[8]Pron. 2008'!F$38*'[8]Pron. 2008'!F36</f>
        <v>86.926173764956786</v>
      </c>
      <c r="G39" s="358">
        <f>+G$41/'[8]Pron. 2008'!G$38*'[8]Pron. 2008'!G36</f>
        <v>93.244672124762545</v>
      </c>
      <c r="H39" s="358">
        <f>+H$41/'[8]Pron. 2008'!H$38*'[8]Pron. 2008'!H36</f>
        <v>99.373640116337938</v>
      </c>
      <c r="I39" s="358">
        <f>+I$41/'[8]Pron. 2008'!I$38*'[8]Pron. 2008'!I36</f>
        <v>104.54045215419961</v>
      </c>
      <c r="J39" s="358">
        <f>+J$41/'[8]Pron. 2008'!J$38*'[8]Pron. 2008'!J36</f>
        <v>110.93162305108265</v>
      </c>
      <c r="K39" s="358">
        <f>+K$41/'[8]Pron. 2008'!K$38*'[8]Pron. 2008'!K36</f>
        <v>117.62311170618516</v>
      </c>
      <c r="L39" s="358">
        <f>+L$41/'[8]Pron. 2008'!L$38*'[8]Pron. 2008'!L36</f>
        <v>125.22037088639493</v>
      </c>
      <c r="M39" s="358">
        <f>+M$41/'[8]Pron. 2008'!M$38*'[8]Pron. 2008'!M36</f>
        <v>132.20029437612931</v>
      </c>
      <c r="N39" s="358">
        <f>+N$41/'[8]Pron. 2008'!N$38*'[8]Pron. 2008'!N36</f>
        <v>140.75039934514072</v>
      </c>
      <c r="O39" s="358">
        <f>+O$41/'[8]Pron. 2008'!O$38*'[8]Pron. 2008'!O36</f>
        <v>148.39506823574268</v>
      </c>
      <c r="P39" s="358">
        <f>+P$41/'[8]Pron. 2008'!P$38*'[8]Pron. 2008'!P36</f>
        <v>156.37397461549867</v>
      </c>
      <c r="Q39" s="358">
        <f>+P39*$AA$42</f>
        <v>164.92180852787897</v>
      </c>
      <c r="R39" s="358">
        <f>+Q39*$AA$42</f>
        <v>173.93689068136393</v>
      </c>
      <c r="S39" s="358">
        <f t="shared" ref="S39:Z39" si="3">+R39*$AA$42</f>
        <v>183.44476215701027</v>
      </c>
      <c r="T39" s="358">
        <f t="shared" si="3"/>
        <v>193.47236018200039</v>
      </c>
      <c r="U39" s="358">
        <f t="shared" si="3"/>
        <v>204.04809444685068</v>
      </c>
      <c r="V39" s="358">
        <f t="shared" si="3"/>
        <v>215.20192759432956</v>
      </c>
      <c r="W39" s="358">
        <f t="shared" si="3"/>
        <v>226.9654601081223</v>
      </c>
      <c r="X39" s="358">
        <f t="shared" si="3"/>
        <v>239.37201984174513</v>
      </c>
      <c r="Y39" s="358">
        <f t="shared" si="3"/>
        <v>252.4567564413573</v>
      </c>
      <c r="Z39" s="359">
        <f t="shared" si="3"/>
        <v>266.25674092998514</v>
      </c>
    </row>
    <row r="40" spans="1:27" s="268" customFormat="1">
      <c r="A40" s="357"/>
      <c r="B40" s="358"/>
      <c r="C40" s="358"/>
      <c r="D40" s="358"/>
      <c r="E40" s="358"/>
      <c r="F40" s="358"/>
      <c r="G40" s="358"/>
      <c r="H40" s="358"/>
      <c r="I40" s="358"/>
      <c r="J40" s="358"/>
      <c r="K40" s="358"/>
      <c r="L40" s="358"/>
      <c r="M40" s="358"/>
      <c r="N40" s="358"/>
      <c r="O40" s="358"/>
      <c r="P40" s="358"/>
      <c r="Q40" s="358"/>
      <c r="R40" s="358"/>
      <c r="S40" s="358"/>
      <c r="T40" s="358"/>
      <c r="U40" s="358"/>
      <c r="V40" s="358"/>
      <c r="W40" s="358"/>
      <c r="X40" s="358"/>
      <c r="Y40" s="358"/>
      <c r="Z40" s="359"/>
    </row>
    <row r="41" spans="1:27" s="268" customFormat="1">
      <c r="A41" s="361" t="s">
        <v>208</v>
      </c>
      <c r="B41" s="358">
        <f>+B49-B43-B45-B47</f>
        <v>1034.8389699999998</v>
      </c>
      <c r="C41" s="358">
        <f>+C49-C43-C45-C47</f>
        <v>1057.4622761089583</v>
      </c>
      <c r="D41" s="358">
        <f t="shared" ref="D41:P41" si="4">+D49-D43-D45-D47</f>
        <v>1157.18</v>
      </c>
      <c r="E41" s="358">
        <f t="shared" si="4"/>
        <v>1199.007722054949</v>
      </c>
      <c r="F41" s="358">
        <f t="shared" si="4"/>
        <v>1234.8068331029249</v>
      </c>
      <c r="G41" s="358">
        <f t="shared" si="4"/>
        <v>1324.5625949374935</v>
      </c>
      <c r="H41" s="358">
        <f t="shared" si="4"/>
        <v>1411.6260331181509</v>
      </c>
      <c r="I41" s="358">
        <f t="shared" si="4"/>
        <v>1485.0218186839718</v>
      </c>
      <c r="J41" s="358">
        <f t="shared" si="4"/>
        <v>1575.8099110753251</v>
      </c>
      <c r="K41" s="358">
        <f t="shared" si="4"/>
        <v>1670.8640881669467</v>
      </c>
      <c r="L41" s="358">
        <f t="shared" si="4"/>
        <v>1778.7849495399896</v>
      </c>
      <c r="M41" s="358">
        <f t="shared" si="4"/>
        <v>1877.9364115951876</v>
      </c>
      <c r="N41" s="358">
        <f t="shared" si="4"/>
        <v>1999.3926724911296</v>
      </c>
      <c r="O41" s="358">
        <f t="shared" si="4"/>
        <v>2107.9869999999996</v>
      </c>
      <c r="P41" s="358">
        <f t="shared" si="4"/>
        <v>2221.3292499999998</v>
      </c>
      <c r="Q41" s="358">
        <f>+Q49-Q43-Q45-Q47</f>
        <v>2342.7532499999998</v>
      </c>
      <c r="R41" s="358">
        <f>+R49-R43-R45-R47</f>
        <v>2480.4407999999994</v>
      </c>
      <c r="S41" s="358">
        <f t="shared" ref="S41:Z41" si="5">+S49-S43-S45-S47</f>
        <v>2621.0903999999996</v>
      </c>
      <c r="T41" s="358">
        <f t="shared" si="5"/>
        <v>2772.0225419662288</v>
      </c>
      <c r="U41" s="358">
        <f t="shared" si="5"/>
        <v>2931.4307420535874</v>
      </c>
      <c r="V41" s="358">
        <f t="shared" si="5"/>
        <v>3099.7909993457483</v>
      </c>
      <c r="W41" s="358">
        <f t="shared" si="5"/>
        <v>3277.6060441172781</v>
      </c>
      <c r="X41" s="358">
        <f t="shared" si="5"/>
        <v>3465.4068390057837</v>
      </c>
      <c r="Y41" s="358">
        <f t="shared" si="5"/>
        <v>3663.7541644869934</v>
      </c>
      <c r="Z41" s="359">
        <f t="shared" si="5"/>
        <v>3873.2402933870635</v>
      </c>
      <c r="AA41" s="272">
        <f>+Q39+Q34+Q18</f>
        <v>2342.7532499999998</v>
      </c>
    </row>
    <row r="42" spans="1:27">
      <c r="A42" s="355"/>
      <c r="B42" s="365"/>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6"/>
      <c r="AA42" s="238">
        <f>+Q41/P41</f>
        <v>1.0546627655490513</v>
      </c>
    </row>
    <row r="43" spans="1:27">
      <c r="A43" s="361" t="s">
        <v>209</v>
      </c>
      <c r="B43" s="367">
        <v>5.94</v>
      </c>
      <c r="C43" s="368">
        <v>8.1199999999999992</v>
      </c>
      <c r="D43" s="367">
        <v>8.0500000000000007</v>
      </c>
      <c r="E43" s="367">
        <v>8.23</v>
      </c>
      <c r="F43" s="367">
        <v>8.23</v>
      </c>
      <c r="G43" s="367">
        <v>8.23</v>
      </c>
      <c r="H43" s="367">
        <v>8.23</v>
      </c>
      <c r="I43" s="367">
        <v>8.23</v>
      </c>
      <c r="J43" s="367">
        <v>8.26</v>
      </c>
      <c r="K43" s="367">
        <v>8.26</v>
      </c>
      <c r="L43" s="367">
        <v>8.26</v>
      </c>
      <c r="M43" s="367">
        <v>8.26</v>
      </c>
      <c r="N43" s="367">
        <v>8.26</v>
      </c>
      <c r="O43" s="367">
        <v>8.26</v>
      </c>
      <c r="P43" s="367">
        <v>8.26</v>
      </c>
      <c r="Q43" s="367">
        <v>8.26</v>
      </c>
      <c r="R43" s="367">
        <v>8.26</v>
      </c>
      <c r="S43" s="367">
        <v>8.26</v>
      </c>
      <c r="T43" s="367">
        <v>8.26</v>
      </c>
      <c r="U43" s="367">
        <v>8.26</v>
      </c>
      <c r="V43" s="367">
        <v>8.26</v>
      </c>
      <c r="W43" s="367">
        <v>8.26</v>
      </c>
      <c r="X43" s="367">
        <v>8.26</v>
      </c>
      <c r="Y43" s="367">
        <v>8.26</v>
      </c>
      <c r="Z43" s="369">
        <v>8.26</v>
      </c>
    </row>
    <row r="44" spans="1:27">
      <c r="A44" s="357"/>
      <c r="B44" s="367"/>
      <c r="C44" s="368"/>
      <c r="D44" s="367"/>
      <c r="E44" s="368"/>
      <c r="F44" s="367"/>
      <c r="G44" s="368"/>
      <c r="H44" s="367"/>
      <c r="I44" s="368"/>
      <c r="J44" s="367"/>
      <c r="K44" s="368"/>
      <c r="L44" s="367"/>
      <c r="M44" s="368"/>
      <c r="N44" s="367"/>
      <c r="O44" s="368"/>
      <c r="P44" s="367"/>
      <c r="Q44" s="370"/>
      <c r="R44" s="370"/>
      <c r="S44" s="370"/>
      <c r="T44" s="370"/>
      <c r="U44" s="370"/>
      <c r="V44" s="370"/>
      <c r="W44" s="370"/>
      <c r="X44" s="370"/>
      <c r="Y44" s="370"/>
      <c r="Z44" s="371"/>
    </row>
    <row r="45" spans="1:27">
      <c r="A45" s="361" t="s">
        <v>210</v>
      </c>
      <c r="B45" s="367">
        <v>0</v>
      </c>
      <c r="C45" s="368">
        <v>15</v>
      </c>
      <c r="D45" s="367">
        <v>20</v>
      </c>
      <c r="E45" s="368">
        <v>37</v>
      </c>
      <c r="F45" s="367">
        <v>37</v>
      </c>
      <c r="G45" s="368">
        <v>37</v>
      </c>
      <c r="H45" s="367">
        <v>37</v>
      </c>
      <c r="I45" s="368">
        <v>37</v>
      </c>
      <c r="J45" s="367">
        <v>37</v>
      </c>
      <c r="K45" s="368">
        <v>37</v>
      </c>
      <c r="L45" s="367">
        <v>37</v>
      </c>
      <c r="M45" s="368">
        <v>37</v>
      </c>
      <c r="N45" s="367">
        <v>37</v>
      </c>
      <c r="O45" s="368">
        <v>37</v>
      </c>
      <c r="P45" s="367">
        <v>37</v>
      </c>
      <c r="Q45" s="370">
        <v>37</v>
      </c>
      <c r="R45" s="370">
        <v>37</v>
      </c>
      <c r="S45" s="370">
        <v>37</v>
      </c>
      <c r="T45" s="370">
        <v>37</v>
      </c>
      <c r="U45" s="370">
        <v>37</v>
      </c>
      <c r="V45" s="370">
        <v>37</v>
      </c>
      <c r="W45" s="370">
        <v>37</v>
      </c>
      <c r="X45" s="370">
        <v>37</v>
      </c>
      <c r="Y45" s="370">
        <v>37</v>
      </c>
      <c r="Z45" s="371">
        <v>37</v>
      </c>
    </row>
    <row r="46" spans="1:27">
      <c r="A46" s="355"/>
      <c r="B46" s="372"/>
      <c r="C46" s="373"/>
      <c r="D46" s="372"/>
      <c r="E46" s="373"/>
      <c r="F46" s="372"/>
      <c r="G46" s="373"/>
      <c r="H46" s="372"/>
      <c r="I46" s="373"/>
      <c r="J46" s="372"/>
      <c r="K46" s="373"/>
      <c r="L46" s="372"/>
      <c r="M46" s="373"/>
      <c r="N46" s="372"/>
      <c r="O46" s="373"/>
      <c r="P46" s="372"/>
      <c r="Q46" s="370"/>
      <c r="R46" s="370"/>
      <c r="S46" s="370"/>
      <c r="T46" s="370"/>
      <c r="U46" s="370"/>
      <c r="V46" s="370"/>
      <c r="W46" s="370"/>
      <c r="X46" s="370"/>
      <c r="Y46" s="370"/>
      <c r="Z46" s="371"/>
    </row>
    <row r="47" spans="1:27">
      <c r="A47" s="361" t="s">
        <v>211</v>
      </c>
      <c r="B47" s="367">
        <v>0</v>
      </c>
      <c r="C47" s="368">
        <v>11.874341057235551</v>
      </c>
      <c r="D47" s="367">
        <v>11</v>
      </c>
      <c r="E47" s="368">
        <v>12.857797945050779</v>
      </c>
      <c r="F47" s="367">
        <v>13.389166897075086</v>
      </c>
      <c r="G47" s="368">
        <v>13.948505062506761</v>
      </c>
      <c r="H47" s="367">
        <v>14.537666881849068</v>
      </c>
      <c r="I47" s="368">
        <v>15.153621316028117</v>
      </c>
      <c r="J47" s="367">
        <v>15.799848924674984</v>
      </c>
      <c r="K47" s="368">
        <v>16.479591833053366</v>
      </c>
      <c r="L47" s="367">
        <v>17.196330460010266</v>
      </c>
      <c r="M47" s="368">
        <v>17.953508404812407</v>
      </c>
      <c r="N47" s="367">
        <v>18.749577508870217</v>
      </c>
      <c r="O47" s="368">
        <v>19.559999999999999</v>
      </c>
      <c r="P47" s="367">
        <v>20.399999999999999</v>
      </c>
      <c r="Q47" s="367">
        <v>21.28</v>
      </c>
      <c r="R47" s="367">
        <v>21.28</v>
      </c>
      <c r="S47" s="367">
        <v>21.28</v>
      </c>
      <c r="T47" s="367">
        <v>21.28</v>
      </c>
      <c r="U47" s="367">
        <v>21.28</v>
      </c>
      <c r="V47" s="367">
        <v>21.28</v>
      </c>
      <c r="W47" s="367">
        <v>21.28</v>
      </c>
      <c r="X47" s="367">
        <v>21.28</v>
      </c>
      <c r="Y47" s="367">
        <v>21.28</v>
      </c>
      <c r="Z47" s="369">
        <v>21.28</v>
      </c>
    </row>
    <row r="48" spans="1:27">
      <c r="A48" s="355"/>
      <c r="B48" s="367"/>
      <c r="C48" s="368"/>
      <c r="D48" s="367"/>
      <c r="E48" s="368"/>
      <c r="F48" s="367"/>
      <c r="G48" s="368"/>
      <c r="H48" s="367"/>
      <c r="I48" s="368"/>
      <c r="J48" s="367"/>
      <c r="K48" s="374" t="s">
        <v>202</v>
      </c>
      <c r="L48" s="374" t="s">
        <v>202</v>
      </c>
      <c r="M48" s="374" t="s">
        <v>202</v>
      </c>
      <c r="N48" s="374" t="s">
        <v>202</v>
      </c>
      <c r="O48" s="374" t="s">
        <v>202</v>
      </c>
      <c r="P48" s="375" t="s">
        <v>202</v>
      </c>
      <c r="Q48" s="375" t="s">
        <v>202</v>
      </c>
      <c r="R48" s="375" t="s">
        <v>202</v>
      </c>
      <c r="S48" s="375" t="s">
        <v>202</v>
      </c>
      <c r="T48" s="375" t="s">
        <v>202</v>
      </c>
      <c r="U48" s="375" t="s">
        <v>202</v>
      </c>
      <c r="V48" s="375" t="s">
        <v>202</v>
      </c>
      <c r="W48" s="375" t="s">
        <v>202</v>
      </c>
      <c r="X48" s="375" t="s">
        <v>202</v>
      </c>
      <c r="Y48" s="375" t="s">
        <v>202</v>
      </c>
      <c r="Z48" s="376" t="s">
        <v>202</v>
      </c>
    </row>
    <row r="49" spans="1:27" s="269" customFormat="1">
      <c r="A49" s="361" t="s">
        <v>143</v>
      </c>
      <c r="B49" s="377">
        <f>+B54-B51</f>
        <v>1040.7789699999998</v>
      </c>
      <c r="C49" s="377">
        <f t="shared" ref="C49:Q49" si="6">+C54-C51</f>
        <v>1092.4566171661938</v>
      </c>
      <c r="D49" s="377">
        <f t="shared" si="6"/>
        <v>1196.23</v>
      </c>
      <c r="E49" s="377">
        <f t="shared" si="6"/>
        <v>1257.0955199999999</v>
      </c>
      <c r="F49" s="377">
        <f t="shared" si="6"/>
        <v>1293.4259999999999</v>
      </c>
      <c r="G49" s="377">
        <f t="shared" si="6"/>
        <v>1383.7411000000002</v>
      </c>
      <c r="H49" s="377">
        <f t="shared" si="6"/>
        <v>1471.3936999999999</v>
      </c>
      <c r="I49" s="377">
        <f t="shared" si="6"/>
        <v>1545.40544</v>
      </c>
      <c r="J49" s="377">
        <f t="shared" si="6"/>
        <v>1636.86976</v>
      </c>
      <c r="K49" s="377">
        <f t="shared" si="6"/>
        <v>1732.6036799999999</v>
      </c>
      <c r="L49" s="377">
        <f t="shared" si="6"/>
        <v>1841.24128</v>
      </c>
      <c r="M49" s="377">
        <f t="shared" si="6"/>
        <v>1941.1499200000001</v>
      </c>
      <c r="N49" s="377">
        <f t="shared" si="6"/>
        <v>2063.4022500000001</v>
      </c>
      <c r="O49" s="377">
        <f t="shared" si="6"/>
        <v>2172.8069999999998</v>
      </c>
      <c r="P49" s="377">
        <f t="shared" si="6"/>
        <v>2286.9892500000001</v>
      </c>
      <c r="Q49" s="377">
        <f t="shared" si="6"/>
        <v>2409.2932500000002</v>
      </c>
      <c r="R49" s="377">
        <f>+R54-R51</f>
        <v>2546.9807999999998</v>
      </c>
      <c r="S49" s="377">
        <f t="shared" ref="S49:Z49" si="7">+S54-S51</f>
        <v>2687.6304</v>
      </c>
      <c r="T49" s="377">
        <f t="shared" si="7"/>
        <v>2838.5625419662292</v>
      </c>
      <c r="U49" s="377">
        <f t="shared" si="7"/>
        <v>2997.9707420535879</v>
      </c>
      <c r="V49" s="377">
        <f t="shared" si="7"/>
        <v>3166.3309993457488</v>
      </c>
      <c r="W49" s="377">
        <f t="shared" si="7"/>
        <v>3344.1460441172785</v>
      </c>
      <c r="X49" s="377">
        <f t="shared" si="7"/>
        <v>3531.9468390057841</v>
      </c>
      <c r="Y49" s="377">
        <f t="shared" si="7"/>
        <v>3730.2941644869939</v>
      </c>
      <c r="Z49" s="378">
        <f t="shared" si="7"/>
        <v>3939.7802933870639</v>
      </c>
    </row>
    <row r="50" spans="1:27">
      <c r="A50" s="355"/>
      <c r="B50" s="379"/>
      <c r="C50" s="379"/>
      <c r="D50" s="379"/>
      <c r="E50" s="379"/>
      <c r="F50" s="379"/>
      <c r="G50" s="379"/>
      <c r="H50" s="379"/>
      <c r="I50" s="379"/>
      <c r="J50" s="379"/>
      <c r="K50" s="379"/>
      <c r="L50" s="379"/>
      <c r="M50" s="379"/>
      <c r="N50" s="379"/>
      <c r="O50" s="379"/>
      <c r="P50" s="379"/>
      <c r="Q50" s="370"/>
      <c r="R50" s="370"/>
      <c r="S50" s="370"/>
      <c r="T50" s="370"/>
      <c r="U50" s="370"/>
      <c r="V50" s="370"/>
      <c r="W50" s="370"/>
      <c r="X50" s="370"/>
      <c r="Y50" s="370"/>
      <c r="Z50" s="371"/>
      <c r="AA50" s="380"/>
    </row>
    <row r="51" spans="1:27">
      <c r="A51" s="355" t="s">
        <v>212</v>
      </c>
      <c r="B51" s="372">
        <f>+B54*B52</f>
        <v>23.52103</v>
      </c>
      <c r="C51" s="372">
        <v>20.04</v>
      </c>
      <c r="D51" s="372">
        <v>25.77</v>
      </c>
      <c r="E51" s="372">
        <f>+E54*E57</f>
        <v>31.70448</v>
      </c>
      <c r="F51" s="372">
        <f t="shared" ref="F51:Y51" si="8">+F54*F57</f>
        <v>64.073999999999998</v>
      </c>
      <c r="G51" s="372">
        <f t="shared" si="8"/>
        <v>59.158900000000003</v>
      </c>
      <c r="H51" s="372">
        <f t="shared" si="8"/>
        <v>62.906300000000002</v>
      </c>
      <c r="I51" s="372">
        <f t="shared" si="8"/>
        <v>83.394559999999998</v>
      </c>
      <c r="J51" s="372">
        <f t="shared" si="8"/>
        <v>88.330240000000003</v>
      </c>
      <c r="K51" s="372">
        <f t="shared" si="8"/>
        <v>93.496319999999997</v>
      </c>
      <c r="L51" s="372">
        <f t="shared" si="8"/>
        <v>99.358720000000005</v>
      </c>
      <c r="M51" s="372">
        <f t="shared" si="8"/>
        <v>104.75008000000001</v>
      </c>
      <c r="N51" s="372">
        <f t="shared" si="8"/>
        <v>96.097749999999991</v>
      </c>
      <c r="O51" s="372">
        <f t="shared" si="8"/>
        <v>101.193</v>
      </c>
      <c r="P51" s="372">
        <f t="shared" si="8"/>
        <v>106.51075</v>
      </c>
      <c r="Q51" s="372">
        <f t="shared" si="8"/>
        <v>112.20675</v>
      </c>
      <c r="R51" s="372">
        <f t="shared" si="8"/>
        <v>118.61919999999999</v>
      </c>
      <c r="S51" s="372">
        <f t="shared" si="8"/>
        <v>125.1696</v>
      </c>
      <c r="T51" s="372">
        <f t="shared" si="8"/>
        <v>132.19888343013835</v>
      </c>
      <c r="U51" s="372">
        <f t="shared" si="8"/>
        <v>139.6229178664413</v>
      </c>
      <c r="V51" s="372">
        <f t="shared" si="8"/>
        <v>147.46387176440169</v>
      </c>
      <c r="W51" s="372">
        <f t="shared" si="8"/>
        <v>155.74515851723586</v>
      </c>
      <c r="X51" s="372">
        <f t="shared" si="8"/>
        <v>164.49150636918617</v>
      </c>
      <c r="Y51" s="372">
        <f t="shared" si="8"/>
        <v>173.7290322550196</v>
      </c>
      <c r="Z51" s="381">
        <f>+Z54*Z57</f>
        <v>183.48531978621071</v>
      </c>
    </row>
    <row r="52" spans="1:27">
      <c r="A52" s="355" t="s">
        <v>213</v>
      </c>
      <c r="B52" s="382">
        <v>2.2100000000000002E-2</v>
      </c>
      <c r="C52" s="383">
        <f>+C51/C54</f>
        <v>1.8013537920723636E-2</v>
      </c>
      <c r="D52" s="383">
        <f t="shared" ref="D52:Q52" si="9">+D51/D54</f>
        <v>2.1088379705400982E-2</v>
      </c>
      <c r="E52" s="383">
        <f t="shared" si="9"/>
        <v>2.46E-2</v>
      </c>
      <c r="F52" s="383">
        <f t="shared" si="9"/>
        <v>4.7199999999999999E-2</v>
      </c>
      <c r="G52" s="383">
        <f t="shared" si="9"/>
        <v>4.1000000000000002E-2</v>
      </c>
      <c r="H52" s="383">
        <f t="shared" si="9"/>
        <v>4.1000000000000002E-2</v>
      </c>
      <c r="I52" s="383">
        <f t="shared" si="9"/>
        <v>5.1200000000000002E-2</v>
      </c>
      <c r="J52" s="383">
        <f t="shared" si="9"/>
        <v>5.1200000000000002E-2</v>
      </c>
      <c r="K52" s="383">
        <f t="shared" si="9"/>
        <v>5.1200000000000002E-2</v>
      </c>
      <c r="L52" s="383">
        <f t="shared" si="9"/>
        <v>5.1200000000000002E-2</v>
      </c>
      <c r="M52" s="383">
        <f t="shared" si="9"/>
        <v>5.1200000000000002E-2</v>
      </c>
      <c r="N52" s="383">
        <f t="shared" si="9"/>
        <v>4.4499999999999998E-2</v>
      </c>
      <c r="O52" s="383">
        <f t="shared" si="9"/>
        <v>4.4499999999999998E-2</v>
      </c>
      <c r="P52" s="383">
        <f t="shared" si="9"/>
        <v>4.4499999999999998E-2</v>
      </c>
      <c r="Q52" s="383">
        <f t="shared" si="9"/>
        <v>4.4499999999999998E-2</v>
      </c>
      <c r="R52" s="383">
        <f>+R51/R54</f>
        <v>4.4499999999999998E-2</v>
      </c>
      <c r="S52" s="383">
        <f t="shared" ref="S52:Z52" si="10">+S51/S54</f>
        <v>4.4499999999999998E-2</v>
      </c>
      <c r="T52" s="383">
        <f t="shared" si="10"/>
        <v>4.4499999999999998E-2</v>
      </c>
      <c r="U52" s="383">
        <f t="shared" si="10"/>
        <v>4.4500000000000005E-2</v>
      </c>
      <c r="V52" s="383">
        <f t="shared" si="10"/>
        <v>4.4499999999999998E-2</v>
      </c>
      <c r="W52" s="383">
        <f t="shared" si="10"/>
        <v>4.4499999999999998E-2</v>
      </c>
      <c r="X52" s="383">
        <f t="shared" si="10"/>
        <v>4.4499999999999998E-2</v>
      </c>
      <c r="Y52" s="383">
        <f t="shared" si="10"/>
        <v>4.4499999999999998E-2</v>
      </c>
      <c r="Z52" s="384">
        <f t="shared" si="10"/>
        <v>4.4499999999999998E-2</v>
      </c>
    </row>
    <row r="53" spans="1:27">
      <c r="A53" s="355"/>
      <c r="B53" s="379"/>
      <c r="C53" s="379"/>
      <c r="D53" s="379"/>
      <c r="E53" s="379"/>
      <c r="F53" s="379"/>
      <c r="G53" s="379"/>
      <c r="H53" s="379"/>
      <c r="I53" s="379"/>
      <c r="J53" s="379"/>
      <c r="K53" s="379"/>
      <c r="L53" s="379"/>
      <c r="M53" s="379"/>
      <c r="N53" s="379"/>
      <c r="O53" s="379"/>
      <c r="P53" s="379"/>
      <c r="Q53" s="370"/>
      <c r="R53" s="370"/>
      <c r="S53" s="370"/>
      <c r="T53" s="370"/>
      <c r="U53" s="370"/>
      <c r="V53" s="370"/>
      <c r="W53" s="370"/>
      <c r="X53" s="370"/>
      <c r="Y53" s="370"/>
      <c r="Z53" s="371"/>
    </row>
    <row r="54" spans="1:27" s="269" customFormat="1" ht="13.5" thickBot="1">
      <c r="A54" s="385" t="s">
        <v>214</v>
      </c>
      <c r="B54" s="386">
        <v>1064.3</v>
      </c>
      <c r="C54" s="386">
        <v>1112.4966171661938</v>
      </c>
      <c r="D54" s="386">
        <v>1222</v>
      </c>
      <c r="E54" s="386">
        <v>1288.8</v>
      </c>
      <c r="F54" s="386">
        <v>1357.5</v>
      </c>
      <c r="G54" s="387">
        <v>1442.9</v>
      </c>
      <c r="H54" s="386">
        <v>1534.3</v>
      </c>
      <c r="I54" s="388">
        <v>1628.8</v>
      </c>
      <c r="J54" s="386">
        <v>1725.2</v>
      </c>
      <c r="K54" s="388">
        <v>1826.1</v>
      </c>
      <c r="L54" s="386">
        <v>1940.6</v>
      </c>
      <c r="M54" s="388">
        <v>2045.9</v>
      </c>
      <c r="N54" s="386">
        <v>2159.5</v>
      </c>
      <c r="O54" s="388">
        <v>2274</v>
      </c>
      <c r="P54" s="386">
        <v>2393.5</v>
      </c>
      <c r="Q54" s="388">
        <v>2521.5</v>
      </c>
      <c r="R54" s="387">
        <v>2665.6</v>
      </c>
      <c r="S54" s="386">
        <v>2812.8</v>
      </c>
      <c r="T54" s="387">
        <f t="shared" ref="T54:Z54" si="11">+S54*$S$58</f>
        <v>2970.7614253963675</v>
      </c>
      <c r="U54" s="387">
        <f t="shared" si="11"/>
        <v>3137.593659920029</v>
      </c>
      <c r="V54" s="387">
        <f t="shared" si="11"/>
        <v>3313.7948711101503</v>
      </c>
      <c r="W54" s="387">
        <f t="shared" si="11"/>
        <v>3499.8912026345142</v>
      </c>
      <c r="X54" s="387">
        <f t="shared" si="11"/>
        <v>3696.4383453749701</v>
      </c>
      <c r="Y54" s="387">
        <f t="shared" si="11"/>
        <v>3904.0231967420136</v>
      </c>
      <c r="Z54" s="389">
        <f t="shared" si="11"/>
        <v>4123.2656131732747</v>
      </c>
    </row>
    <row r="56" spans="1:27">
      <c r="D56" s="238">
        <f t="shared" ref="D56:R56" si="12">+D54/C54</f>
        <v>1.0984303063435272</v>
      </c>
      <c r="E56" s="238">
        <f t="shared" si="12"/>
        <v>1.0546644844517186</v>
      </c>
      <c r="F56" s="238">
        <f t="shared" si="12"/>
        <v>1.0533054003724396</v>
      </c>
      <c r="G56" s="238">
        <f t="shared" si="12"/>
        <v>1.0629097605893187</v>
      </c>
      <c r="H56" s="238">
        <f t="shared" si="12"/>
        <v>1.0633446531291149</v>
      </c>
      <c r="I56" s="238">
        <f t="shared" si="12"/>
        <v>1.0615916052923158</v>
      </c>
      <c r="J56" s="238">
        <f t="shared" si="12"/>
        <v>1.0591846758349706</v>
      </c>
      <c r="K56" s="238">
        <f t="shared" si="12"/>
        <v>1.0584859726408531</v>
      </c>
      <c r="L56" s="238">
        <f t="shared" si="12"/>
        <v>1.0627019330814305</v>
      </c>
      <c r="M56" s="238">
        <f t="shared" si="12"/>
        <v>1.0542615685870351</v>
      </c>
      <c r="N56" s="238">
        <f t="shared" si="12"/>
        <v>1.0555256855173762</v>
      </c>
      <c r="O56" s="238">
        <f t="shared" si="12"/>
        <v>1.0530215327622134</v>
      </c>
      <c r="P56" s="238">
        <f t="shared" si="12"/>
        <v>1.0525505716798593</v>
      </c>
      <c r="Q56" s="238">
        <f t="shared" si="12"/>
        <v>1.0534781700438689</v>
      </c>
      <c r="R56" s="238">
        <f t="shared" si="12"/>
        <v>1.0571485227047392</v>
      </c>
      <c r="S56" s="238">
        <f>+S54/R54</f>
        <v>1.0552220888355344</v>
      </c>
    </row>
    <row r="57" spans="1:27">
      <c r="E57" s="68">
        <v>2.46E-2</v>
      </c>
      <c r="F57" s="68">
        <v>4.7199999999999999E-2</v>
      </c>
      <c r="G57" s="68">
        <v>4.1000000000000002E-2</v>
      </c>
      <c r="H57" s="68">
        <v>4.1000000000000002E-2</v>
      </c>
      <c r="I57" s="68">
        <v>5.1200000000000002E-2</v>
      </c>
      <c r="J57" s="68">
        <v>5.1200000000000002E-2</v>
      </c>
      <c r="K57" s="68">
        <v>5.1200000000000002E-2</v>
      </c>
      <c r="L57" s="68">
        <v>5.1200000000000002E-2</v>
      </c>
      <c r="M57" s="68">
        <v>5.1200000000000002E-2</v>
      </c>
      <c r="N57" s="68">
        <v>4.4499999999999998E-2</v>
      </c>
      <c r="O57" s="68">
        <v>4.4499999999999998E-2</v>
      </c>
      <c r="P57" s="68">
        <v>4.4499999999999998E-2</v>
      </c>
      <c r="Q57" s="68">
        <v>4.4499999999999998E-2</v>
      </c>
      <c r="R57" s="68">
        <v>4.4499999999999998E-2</v>
      </c>
      <c r="S57" s="68">
        <v>4.4499999999999998E-2</v>
      </c>
      <c r="T57" s="68">
        <v>4.4499999999999998E-2</v>
      </c>
      <c r="U57" s="68">
        <v>4.4499999999999998E-2</v>
      </c>
      <c r="V57" s="68">
        <v>4.4499999999999998E-2</v>
      </c>
      <c r="W57" s="68">
        <v>4.4499999999999998E-2</v>
      </c>
      <c r="X57" s="68">
        <v>4.4499999999999998E-2</v>
      </c>
      <c r="Y57" s="68">
        <v>4.4499999999999998E-2</v>
      </c>
      <c r="Z57" s="68">
        <v>4.4499999999999998E-2</v>
      </c>
    </row>
    <row r="58" spans="1:27">
      <c r="S58" s="238">
        <f>AVERAGE(J56:S56)</f>
        <v>1.0561580721687882</v>
      </c>
    </row>
  </sheetData>
  <mergeCells count="1">
    <mergeCell ref="A4:Z4"/>
  </mergeCells>
  <printOptions horizontalCentered="1" verticalCentered="1"/>
  <pageMargins left="0.74803149606299213" right="0.74803149606299213" top="0.98425196850393704" bottom="0.98425196850393704" header="0" footer="0"/>
  <pageSetup scale="68" orientation="landscape" horizontalDpi="300" verticalDpi="300" r:id="rId1"/>
  <headerFooter alignWithMargins="0"/>
</worksheet>
</file>

<file path=xl/worksheets/sheet29.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B2:O49"/>
  <sheetViews>
    <sheetView topLeftCell="E21" zoomScaleNormal="100" workbookViewId="0">
      <selection activeCell="L36" sqref="L36:O36"/>
    </sheetView>
  </sheetViews>
  <sheetFormatPr baseColWidth="10" defaultRowHeight="15"/>
  <cols>
    <col min="1" max="1" width="3.7109375" style="225" customWidth="1"/>
    <col min="2" max="2" width="16" style="225" customWidth="1"/>
    <col min="3" max="3" width="4.85546875" style="225" customWidth="1"/>
    <col min="4" max="5" width="15.7109375" style="225" customWidth="1"/>
    <col min="6" max="6" width="15.5703125" style="225" customWidth="1"/>
    <col min="7" max="7" width="15.7109375" style="225" customWidth="1"/>
    <col min="8" max="8" width="3.7109375" style="225" customWidth="1"/>
    <col min="9" max="16384" width="11.42578125" style="225"/>
  </cols>
  <sheetData>
    <row r="2" spans="2:15">
      <c r="B2" s="3" t="s">
        <v>65</v>
      </c>
      <c r="C2"/>
      <c r="D2"/>
    </row>
    <row r="3" spans="2:15" ht="15" customHeight="1">
      <c r="B3" s="1188" t="s">
        <v>400</v>
      </c>
      <c r="C3" s="1188"/>
      <c r="D3" s="1188"/>
      <c r="E3" s="1188"/>
      <c r="F3" s="1188"/>
    </row>
    <row r="4" spans="2:15">
      <c r="B4" s="1189" t="s">
        <v>313</v>
      </c>
      <c r="C4" s="1189"/>
      <c r="D4" s="1189"/>
      <c r="E4" s="1189"/>
      <c r="F4" s="1189"/>
      <c r="G4" s="1189"/>
      <c r="J4" s="1189" t="s">
        <v>323</v>
      </c>
      <c r="K4" s="1189"/>
      <c r="L4" s="1189"/>
      <c r="M4" s="1189"/>
      <c r="N4" s="1189"/>
      <c r="O4" s="1189"/>
    </row>
    <row r="5" spans="2:15" ht="27.75" customHeight="1">
      <c r="B5" s="1189"/>
      <c r="C5" s="1189"/>
      <c r="D5" s="1189"/>
      <c r="E5" s="1189"/>
      <c r="F5" s="1189"/>
      <c r="G5" s="1189"/>
      <c r="J5" s="1189"/>
      <c r="K5" s="1189"/>
      <c r="L5" s="1189"/>
      <c r="M5" s="1189"/>
      <c r="N5" s="1189"/>
      <c r="O5" s="1189"/>
    </row>
    <row r="6" spans="2:15" ht="18.75">
      <c r="B6" s="1190" t="s">
        <v>324</v>
      </c>
      <c r="C6" s="1190"/>
      <c r="D6" s="1190"/>
      <c r="E6" s="1190"/>
      <c r="F6" s="1190"/>
      <c r="G6" s="1190"/>
      <c r="J6" s="1190" t="s">
        <v>324</v>
      </c>
      <c r="K6" s="1190"/>
      <c r="L6" s="1190"/>
      <c r="M6" s="1190"/>
      <c r="N6" s="1190"/>
      <c r="O6" s="1190"/>
    </row>
    <row r="7" spans="2:15" ht="15.75">
      <c r="B7" s="1191" t="s">
        <v>587</v>
      </c>
      <c r="C7" s="1191"/>
      <c r="D7" s="1191"/>
      <c r="E7" s="1191"/>
      <c r="F7" s="1191"/>
      <c r="G7" s="1191"/>
      <c r="J7" s="1191" t="s">
        <v>399</v>
      </c>
      <c r="K7" s="1191"/>
      <c r="L7" s="1191"/>
      <c r="M7" s="1191"/>
      <c r="N7" s="1191"/>
      <c r="O7" s="1191"/>
    </row>
    <row r="8" spans="2:15" ht="15.75" thickBot="1"/>
    <row r="9" spans="2:15" ht="15" customHeight="1">
      <c r="B9" s="1192" t="s">
        <v>8</v>
      </c>
      <c r="C9" s="226"/>
      <c r="D9" s="1186" t="s">
        <v>314</v>
      </c>
      <c r="E9" s="1186" t="s">
        <v>315</v>
      </c>
      <c r="F9" s="1186" t="s">
        <v>316</v>
      </c>
      <c r="G9" s="1186" t="s">
        <v>317</v>
      </c>
      <c r="J9" s="1192" t="s">
        <v>8</v>
      </c>
      <c r="K9" s="226"/>
      <c r="L9" s="1186" t="s">
        <v>314</v>
      </c>
      <c r="M9" s="1186" t="s">
        <v>315</v>
      </c>
      <c r="N9" s="1186" t="s">
        <v>316</v>
      </c>
      <c r="O9" s="1186" t="s">
        <v>317</v>
      </c>
    </row>
    <row r="10" spans="2:15" ht="32.25" customHeight="1" thickBot="1">
      <c r="B10" s="1193"/>
      <c r="C10" s="227"/>
      <c r="D10" s="1187"/>
      <c r="E10" s="1187"/>
      <c r="F10" s="1187"/>
      <c r="G10" s="1187"/>
      <c r="J10" s="1193"/>
      <c r="K10" s="227"/>
      <c r="L10" s="1187"/>
      <c r="M10" s="1187"/>
      <c r="N10" s="1187"/>
      <c r="O10" s="1187"/>
    </row>
    <row r="11" spans="2:15" ht="15" customHeight="1">
      <c r="B11" s="234"/>
      <c r="C11" s="235"/>
      <c r="D11" s="236"/>
      <c r="E11" s="236"/>
      <c r="F11" s="236"/>
      <c r="G11" s="236"/>
      <c r="J11" s="234"/>
      <c r="K11" s="235"/>
      <c r="L11" s="236"/>
      <c r="M11" s="236"/>
      <c r="N11" s="236"/>
      <c r="O11" s="236"/>
    </row>
    <row r="12" spans="2:15" ht="14.25" customHeight="1">
      <c r="B12" s="225">
        <v>2008</v>
      </c>
      <c r="D12" s="229">
        <v>3416857</v>
      </c>
      <c r="E12" s="230">
        <v>3411824</v>
      </c>
      <c r="F12" s="229">
        <v>3395346</v>
      </c>
      <c r="G12" s="229">
        <v>3334025</v>
      </c>
      <c r="J12" s="225">
        <v>2008</v>
      </c>
      <c r="L12" s="228"/>
      <c r="N12" s="228"/>
      <c r="O12" s="228"/>
    </row>
    <row r="13" spans="2:15" ht="14.25" customHeight="1">
      <c r="B13" s="225">
        <v>2009</v>
      </c>
      <c r="D13" s="229">
        <v>3476769</v>
      </c>
      <c r="E13" s="230">
        <v>3470579</v>
      </c>
      <c r="F13" s="229">
        <v>3450349</v>
      </c>
      <c r="G13" s="229">
        <v>3377061</v>
      </c>
      <c r="J13" s="225">
        <v>2009</v>
      </c>
      <c r="L13" s="237">
        <f>(D13/D12)-1</f>
        <v>1.7534242726575888E-2</v>
      </c>
      <c r="M13" s="237">
        <f t="shared" ref="M13" si="0">(E13/E12)-1</f>
        <v>1.7220993814452301E-2</v>
      </c>
      <c r="N13" s="237">
        <f t="shared" ref="N13" si="1">(F13/F12)-1</f>
        <v>1.6199527235221334E-2</v>
      </c>
      <c r="O13" s="237">
        <f t="shared" ref="M13:O30" si="2">(G13/G12)-1</f>
        <v>1.2908121564775277E-2</v>
      </c>
    </row>
    <row r="14" spans="2:15">
      <c r="B14" s="225">
        <v>2010</v>
      </c>
      <c r="D14" s="229">
        <v>3537001</v>
      </c>
      <c r="E14" s="230">
        <v>3529465</v>
      </c>
      <c r="F14" s="229">
        <v>3504483</v>
      </c>
      <c r="G14" s="229">
        <v>3418879</v>
      </c>
      <c r="J14" s="225">
        <v>2010</v>
      </c>
      <c r="L14" s="237">
        <f>(D14/D13)-1</f>
        <v>1.7324130536138682E-2</v>
      </c>
      <c r="M14" s="237">
        <f>(E14/E13)-1</f>
        <v>1.6967197692373537E-2</v>
      </c>
      <c r="N14" s="237">
        <f>(F14/F13)-1</f>
        <v>1.5689427359377284E-2</v>
      </c>
      <c r="O14" s="237">
        <f>(G14/G13)-1</f>
        <v>1.2382956659651612E-2</v>
      </c>
    </row>
    <row r="15" spans="2:15">
      <c r="B15" s="225">
        <v>2011</v>
      </c>
      <c r="D15" s="229">
        <v>3597531</v>
      </c>
      <c r="E15" s="230">
        <v>3588472</v>
      </c>
      <c r="F15" s="229">
        <v>3557687</v>
      </c>
      <c r="G15" s="229">
        <v>3459293</v>
      </c>
      <c r="J15" s="225">
        <v>2011</v>
      </c>
      <c r="L15" s="237">
        <f t="shared" ref="L15:L28" si="3">(D15/D14)-1</f>
        <v>1.7113368076514535E-2</v>
      </c>
      <c r="M15" s="237">
        <f t="shared" si="2"/>
        <v>1.6718397830832732E-2</v>
      </c>
      <c r="N15" s="237">
        <f t="shared" si="2"/>
        <v>1.518169727175156E-2</v>
      </c>
      <c r="O15" s="237">
        <f t="shared" si="2"/>
        <v>1.1820833670919573E-2</v>
      </c>
    </row>
    <row r="16" spans="2:15">
      <c r="B16" s="225">
        <v>2012</v>
      </c>
      <c r="D16" s="229">
        <v>3658350</v>
      </c>
      <c r="E16" s="230">
        <v>3647614</v>
      </c>
      <c r="F16" s="229">
        <v>3610165</v>
      </c>
      <c r="G16" s="229">
        <v>3498320</v>
      </c>
      <c r="J16" s="225">
        <v>2012</v>
      </c>
      <c r="L16" s="237">
        <f t="shared" si="3"/>
        <v>1.6905761201223779E-2</v>
      </c>
      <c r="M16" s="237">
        <f t="shared" si="2"/>
        <v>1.6481109508448055E-2</v>
      </c>
      <c r="N16" s="237">
        <f t="shared" si="2"/>
        <v>1.4750594979266118E-2</v>
      </c>
      <c r="O16" s="237">
        <f t="shared" si="2"/>
        <v>1.1281785035265779E-2</v>
      </c>
    </row>
    <row r="17" spans="2:15">
      <c r="B17" s="225">
        <v>2013</v>
      </c>
      <c r="D17" s="229">
        <v>3719492</v>
      </c>
      <c r="E17" s="230">
        <v>3706905</v>
      </c>
      <c r="F17" s="229">
        <v>3662009</v>
      </c>
      <c r="G17" s="229">
        <v>3536241</v>
      </c>
      <c r="J17" s="225">
        <v>2013</v>
      </c>
      <c r="L17" s="237">
        <f t="shared" si="3"/>
        <v>1.6712999029617093E-2</v>
      </c>
      <c r="M17" s="237">
        <f t="shared" si="2"/>
        <v>1.6254735287231536E-2</v>
      </c>
      <c r="N17" s="237">
        <f t="shared" si="2"/>
        <v>1.4360562467366389E-2</v>
      </c>
      <c r="O17" s="237">
        <f t="shared" si="2"/>
        <v>1.0839774520341239E-2</v>
      </c>
    </row>
    <row r="18" spans="2:15">
      <c r="B18" s="225">
        <v>2014</v>
      </c>
      <c r="D18" s="229">
        <v>3780990</v>
      </c>
      <c r="E18" s="230">
        <v>3766358</v>
      </c>
      <c r="F18" s="229">
        <v>3713312</v>
      </c>
      <c r="G18" s="229">
        <v>3573335</v>
      </c>
      <c r="J18" s="225">
        <v>2014</v>
      </c>
      <c r="L18" s="237">
        <f t="shared" si="3"/>
        <v>1.6533978295960816E-2</v>
      </c>
      <c r="M18" s="237">
        <f t="shared" si="2"/>
        <v>1.6038447168190251E-2</v>
      </c>
      <c r="N18" s="237">
        <f t="shared" si="2"/>
        <v>1.400952318795512E-2</v>
      </c>
      <c r="O18" s="237">
        <f t="shared" si="2"/>
        <v>1.0489669680318725E-2</v>
      </c>
    </row>
    <row r="19" spans="2:15">
      <c r="B19" s="225">
        <v>2015</v>
      </c>
      <c r="D19" s="229">
        <v>3842879</v>
      </c>
      <c r="E19" s="230">
        <v>3825988</v>
      </c>
      <c r="F19" s="229">
        <v>3764166</v>
      </c>
      <c r="G19" s="229">
        <v>3609880</v>
      </c>
      <c r="J19" s="225">
        <v>2015</v>
      </c>
      <c r="L19" s="237">
        <f t="shared" si="3"/>
        <v>1.6368464343994527E-2</v>
      </c>
      <c r="M19" s="237">
        <f t="shared" si="2"/>
        <v>1.5832270856886099E-2</v>
      </c>
      <c r="N19" s="237">
        <f t="shared" si="2"/>
        <v>1.3695051748950693E-2</v>
      </c>
      <c r="O19" s="237">
        <f t="shared" si="2"/>
        <v>1.0227140752266495E-2</v>
      </c>
    </row>
    <row r="20" spans="2:15">
      <c r="B20" s="225">
        <v>2016</v>
      </c>
      <c r="D20" s="229">
        <v>3905202</v>
      </c>
      <c r="E20" s="230">
        <v>3885883</v>
      </c>
      <c r="F20" s="229">
        <v>3814672</v>
      </c>
      <c r="G20" s="229">
        <v>3646069</v>
      </c>
      <c r="J20" s="225">
        <v>2016</v>
      </c>
      <c r="L20" s="237">
        <f t="shared" si="3"/>
        <v>1.6217788798450261E-2</v>
      </c>
      <c r="M20" s="237">
        <f t="shared" si="2"/>
        <v>1.5654779889534343E-2</v>
      </c>
      <c r="N20" s="237">
        <f t="shared" si="2"/>
        <v>1.3417580414891273E-2</v>
      </c>
      <c r="O20" s="237">
        <f t="shared" si="2"/>
        <v>1.0024986980176731E-2</v>
      </c>
    </row>
    <row r="21" spans="2:15">
      <c r="B21" s="225">
        <v>2017</v>
      </c>
      <c r="D21" s="229">
        <v>3967938</v>
      </c>
      <c r="E21" s="230">
        <v>3946035</v>
      </c>
      <c r="F21" s="229">
        <v>3864769</v>
      </c>
      <c r="G21" s="229">
        <v>3681715</v>
      </c>
      <c r="J21" s="225">
        <v>2017</v>
      </c>
      <c r="L21" s="237">
        <f t="shared" si="3"/>
        <v>1.6064725973201854E-2</v>
      </c>
      <c r="M21" s="237">
        <f t="shared" si="2"/>
        <v>1.5479622006117966E-2</v>
      </c>
      <c r="N21" s="237">
        <f t="shared" si="2"/>
        <v>1.313271494901791E-2</v>
      </c>
      <c r="O21" s="237">
        <f t="shared" si="2"/>
        <v>9.7765566148089178E-3</v>
      </c>
    </row>
    <row r="22" spans="2:15">
      <c r="B22" s="225">
        <v>2018</v>
      </c>
      <c r="D22" s="229">
        <v>4031019</v>
      </c>
      <c r="E22" s="230">
        <v>4006310</v>
      </c>
      <c r="F22" s="229">
        <v>3914304</v>
      </c>
      <c r="G22" s="229">
        <v>3716531</v>
      </c>
      <c r="J22" s="225">
        <v>2018</v>
      </c>
      <c r="L22" s="237">
        <f t="shared" si="3"/>
        <v>1.5897677836700153E-2</v>
      </c>
      <c r="M22" s="237">
        <f t="shared" si="2"/>
        <v>1.5274826503059336E-2</v>
      </c>
      <c r="N22" s="237">
        <f t="shared" si="2"/>
        <v>1.281706616876721E-2</v>
      </c>
      <c r="O22" s="237">
        <f t="shared" si="2"/>
        <v>9.4564625453084084E-3</v>
      </c>
    </row>
    <row r="23" spans="2:15">
      <c r="B23" s="225">
        <v>2019</v>
      </c>
      <c r="D23" s="229">
        <v>4094830</v>
      </c>
      <c r="E23" s="230">
        <v>4066574</v>
      </c>
      <c r="F23" s="229">
        <v>3963127</v>
      </c>
      <c r="G23" s="229">
        <v>3750228</v>
      </c>
      <c r="J23" s="225">
        <v>2019</v>
      </c>
      <c r="L23" s="237">
        <f t="shared" si="3"/>
        <v>1.5829992366694468E-2</v>
      </c>
      <c r="M23" s="237">
        <f t="shared" si="2"/>
        <v>1.5042270817784864E-2</v>
      </c>
      <c r="N23" s="237">
        <f t="shared" si="2"/>
        <v>1.2472970929186866E-2</v>
      </c>
      <c r="O23" s="237">
        <f t="shared" si="2"/>
        <v>9.0667883572073116E-3</v>
      </c>
    </row>
    <row r="24" spans="2:15">
      <c r="B24" s="225">
        <v>2020</v>
      </c>
      <c r="D24" s="229">
        <v>4157955</v>
      </c>
      <c r="E24" s="230">
        <v>4126696</v>
      </c>
      <c r="F24" s="229">
        <v>4011084</v>
      </c>
      <c r="G24" s="229">
        <v>3782520</v>
      </c>
      <c r="J24" s="225">
        <v>2020</v>
      </c>
      <c r="L24" s="237">
        <f>(D24/D23)-1</f>
        <v>1.5415780386487388E-2</v>
      </c>
      <c r="M24" s="237">
        <f t="shared" si="2"/>
        <v>1.4784435251885331E-2</v>
      </c>
      <c r="N24" s="237">
        <f t="shared" si="2"/>
        <v>1.2100798182849148E-2</v>
      </c>
      <c r="O24" s="237">
        <f t="shared" si="2"/>
        <v>8.6106764708706596E-3</v>
      </c>
    </row>
    <row r="25" spans="2:15">
      <c r="B25" s="225">
        <v>2021</v>
      </c>
      <c r="D25" s="229">
        <v>4221696</v>
      </c>
      <c r="E25" s="230">
        <v>4186678</v>
      </c>
      <c r="F25" s="229">
        <v>4058181</v>
      </c>
      <c r="G25" s="229">
        <v>3813488</v>
      </c>
      <c r="J25" s="225">
        <v>2021</v>
      </c>
      <c r="L25" s="237">
        <f t="shared" si="3"/>
        <v>1.5329891737644985E-2</v>
      </c>
      <c r="M25" s="237">
        <f t="shared" si="2"/>
        <v>1.4535114774628433E-2</v>
      </c>
      <c r="N25" s="237">
        <f t="shared" si="2"/>
        <v>1.1741713711306057E-2</v>
      </c>
      <c r="O25" s="237">
        <f t="shared" si="2"/>
        <v>8.1871345029240761E-3</v>
      </c>
    </row>
    <row r="26" spans="2:15">
      <c r="B26" s="225">
        <v>2022</v>
      </c>
      <c r="D26" s="229">
        <v>4285646</v>
      </c>
      <c r="E26" s="230">
        <v>4246610</v>
      </c>
      <c r="F26" s="229">
        <v>4104519</v>
      </c>
      <c r="G26" s="229">
        <v>3843324</v>
      </c>
      <c r="J26" s="225">
        <v>2022</v>
      </c>
      <c r="L26" s="237">
        <f t="shared" si="3"/>
        <v>1.5147940543326577E-2</v>
      </c>
      <c r="M26" s="237">
        <f t="shared" si="2"/>
        <v>1.431492940226109E-2</v>
      </c>
      <c r="N26" s="237">
        <f t="shared" si="2"/>
        <v>1.141841628059459E-2</v>
      </c>
      <c r="O26" s="237">
        <f t="shared" si="2"/>
        <v>7.8238085448283368E-3</v>
      </c>
    </row>
    <row r="27" spans="2:15">
      <c r="B27" s="225">
        <v>2023</v>
      </c>
      <c r="D27" s="229">
        <v>4349878</v>
      </c>
      <c r="E27" s="230">
        <v>4306486</v>
      </c>
      <c r="F27" s="229">
        <v>4150091</v>
      </c>
      <c r="G27" s="229">
        <v>3871905</v>
      </c>
      <c r="J27" s="225">
        <v>2023</v>
      </c>
      <c r="L27" s="237">
        <f t="shared" si="3"/>
        <v>1.4987705470773882E-2</v>
      </c>
      <c r="M27" s="237">
        <f t="shared" si="2"/>
        <v>1.4099717186179195E-2</v>
      </c>
      <c r="N27" s="237">
        <f t="shared" si="2"/>
        <v>1.1102884406187341E-2</v>
      </c>
      <c r="O27" s="237">
        <f t="shared" si="2"/>
        <v>7.4365315024182976E-3</v>
      </c>
    </row>
    <row r="28" spans="2:15">
      <c r="B28" s="225">
        <v>2024</v>
      </c>
      <c r="D28" s="229">
        <v>4414465</v>
      </c>
      <c r="E28" s="230">
        <v>4366300</v>
      </c>
      <c r="F28" s="229">
        <v>4194889</v>
      </c>
      <c r="G28" s="229">
        <v>3899108</v>
      </c>
      <c r="J28" s="225">
        <v>2024</v>
      </c>
      <c r="L28" s="237">
        <f t="shared" si="3"/>
        <v>1.4848002633637059E-2</v>
      </c>
      <c r="M28" s="237">
        <f t="shared" si="2"/>
        <v>1.3889282352247179E-2</v>
      </c>
      <c r="N28" s="237">
        <f t="shared" si="2"/>
        <v>1.0794462097337032E-2</v>
      </c>
      <c r="O28" s="237">
        <f t="shared" si="2"/>
        <v>7.0257405592337729E-3</v>
      </c>
    </row>
    <row r="29" spans="2:15">
      <c r="B29" s="225">
        <v>2025</v>
      </c>
      <c r="D29" s="229">
        <v>4479480</v>
      </c>
      <c r="E29" s="230">
        <v>4485863</v>
      </c>
      <c r="F29" s="229">
        <v>4238907</v>
      </c>
      <c r="G29" s="229">
        <v>3924809</v>
      </c>
      <c r="J29" s="225">
        <v>2025</v>
      </c>
      <c r="L29" s="237">
        <f>(D29/D28)-1</f>
        <v>1.4727718987465055E-2</v>
      </c>
      <c r="M29" s="237">
        <f t="shared" si="2"/>
        <v>2.7383139042209681E-2</v>
      </c>
      <c r="N29" s="237">
        <f t="shared" si="2"/>
        <v>1.0493245470857504E-2</v>
      </c>
      <c r="O29" s="237">
        <f t="shared" si="2"/>
        <v>6.5915075960962799E-3</v>
      </c>
    </row>
    <row r="30" spans="2:15">
      <c r="B30" s="225">
        <v>2026</v>
      </c>
      <c r="D30" s="229">
        <v>4544941</v>
      </c>
      <c r="E30" s="230">
        <v>4545752</v>
      </c>
      <c r="F30" s="229">
        <v>4282224</v>
      </c>
      <c r="G30" s="229">
        <v>3949066</v>
      </c>
      <c r="J30" s="225">
        <v>2026</v>
      </c>
      <c r="L30" s="237">
        <f t="shared" ref="L30:O34" si="4">(D30/D29)-1</f>
        <v>1.4613526570048219E-2</v>
      </c>
      <c r="M30" s="237">
        <f t="shared" si="2"/>
        <v>1.3350608344481207E-2</v>
      </c>
      <c r="N30" s="237">
        <f t="shared" si="2"/>
        <v>1.0218907845819691E-2</v>
      </c>
      <c r="O30" s="237">
        <f t="shared" si="2"/>
        <v>6.1804281431274699E-3</v>
      </c>
    </row>
    <row r="31" spans="2:15">
      <c r="B31" s="225">
        <v>2027</v>
      </c>
      <c r="D31" s="229">
        <v>4610800</v>
      </c>
      <c r="E31" s="230">
        <v>4605509</v>
      </c>
      <c r="F31" s="229">
        <v>4324846</v>
      </c>
      <c r="G31" s="229">
        <v>3971962</v>
      </c>
      <c r="J31" s="225">
        <v>2027</v>
      </c>
      <c r="L31" s="237">
        <f t="shared" si="4"/>
        <v>1.44906171499255E-2</v>
      </c>
      <c r="M31" s="237">
        <f t="shared" si="4"/>
        <v>1.314567974671732E-2</v>
      </c>
      <c r="N31" s="237">
        <f t="shared" si="4"/>
        <v>9.9532392513796974E-3</v>
      </c>
      <c r="O31" s="237">
        <f t="shared" si="4"/>
        <v>5.7978266253337907E-3</v>
      </c>
    </row>
    <row r="32" spans="2:15">
      <c r="B32" s="225">
        <v>2028</v>
      </c>
      <c r="D32" s="229">
        <v>4677029</v>
      </c>
      <c r="E32" s="230">
        <v>4664930</v>
      </c>
      <c r="F32" s="229">
        <v>4366652</v>
      </c>
      <c r="G32" s="229">
        <v>3993409</v>
      </c>
      <c r="J32" s="225">
        <v>2028</v>
      </c>
      <c r="L32" s="237">
        <f t="shared" si="4"/>
        <v>1.4363884792226944E-2</v>
      </c>
      <c r="M32" s="237">
        <f t="shared" si="4"/>
        <v>1.290215696028385E-2</v>
      </c>
      <c r="N32" s="237">
        <f t="shared" si="4"/>
        <v>9.6664713610612463E-3</v>
      </c>
      <c r="O32" s="237">
        <f t="shared" si="4"/>
        <v>5.3995984855848E-3</v>
      </c>
    </row>
    <row r="33" spans="2:15">
      <c r="B33" s="225">
        <v>2029</v>
      </c>
      <c r="D33" s="229">
        <v>4743601</v>
      </c>
      <c r="E33" s="230">
        <v>4723810</v>
      </c>
      <c r="F33" s="229">
        <v>4407522</v>
      </c>
      <c r="G33" s="229">
        <v>4013322</v>
      </c>
      <c r="J33" s="225">
        <v>2029</v>
      </c>
      <c r="L33" s="237">
        <f t="shared" si="4"/>
        <v>1.4233822368858506E-2</v>
      </c>
      <c r="M33" s="237">
        <f t="shared" si="4"/>
        <v>1.2621839984737093E-2</v>
      </c>
      <c r="N33" s="237">
        <f t="shared" si="4"/>
        <v>9.3595734214679815E-3</v>
      </c>
      <c r="O33" s="237">
        <f t="shared" si="4"/>
        <v>4.9864664500931521E-3</v>
      </c>
    </row>
    <row r="34" spans="2:15">
      <c r="B34" s="225">
        <v>2030</v>
      </c>
      <c r="D34" s="229">
        <v>4810487</v>
      </c>
      <c r="E34" s="230">
        <v>4782185</v>
      </c>
      <c r="F34" s="229">
        <v>4447337</v>
      </c>
      <c r="G34" s="229">
        <v>4031613</v>
      </c>
      <c r="J34" s="225">
        <v>2030</v>
      </c>
      <c r="L34" s="237">
        <f t="shared" si="4"/>
        <v>1.4100258432359736E-2</v>
      </c>
      <c r="M34" s="237">
        <f t="shared" si="4"/>
        <v>1.2357609641370004E-2</v>
      </c>
      <c r="N34" s="237">
        <f t="shared" si="4"/>
        <v>9.0334205932494083E-3</v>
      </c>
      <c r="O34" s="237">
        <f t="shared" si="4"/>
        <v>4.5575710097520705E-3</v>
      </c>
    </row>
    <row r="36" spans="2:15">
      <c r="B36" s="1003" t="s">
        <v>588</v>
      </c>
      <c r="D36" s="231">
        <f>RATE($B$34-$B$13,,-D13,D34)</f>
        <v>1.5581812427708315E-2</v>
      </c>
      <c r="E36" s="231">
        <f>RATE($B$34-$B$13,,-E13,E34)</f>
        <v>1.5382642709591702E-2</v>
      </c>
      <c r="F36" s="231">
        <f>RATE($B$34-$B$13,,-F13,F34)</f>
        <v>1.2160492627915676E-2</v>
      </c>
      <c r="G36" s="231">
        <f>RATE($B$34-$B$13,,-G13,G34)</f>
        <v>8.4719109170465594E-3</v>
      </c>
      <c r="J36" s="225" t="s">
        <v>41</v>
      </c>
      <c r="L36" s="231">
        <f>RATE($B$29-$B$14,,-L14,L34)</f>
        <v>-1.3633361165962582E-2</v>
      </c>
      <c r="M36" s="231">
        <f>RATE($B$29-$B$14,,-M14,M34)</f>
        <v>-2.0912235059047123E-2</v>
      </c>
      <c r="N36" s="231">
        <f>RATE($B$29-$B$14,,-N14,N34)</f>
        <v>-3.6134706646074093E-2</v>
      </c>
      <c r="O36" s="231">
        <f>RATE($B$29-$B$14,,-O14,O34)</f>
        <v>-6.4463780288200642E-2</v>
      </c>
    </row>
    <row r="37" spans="2:15">
      <c r="B37" s="232"/>
      <c r="C37" s="232"/>
      <c r="D37" s="233"/>
      <c r="E37" s="233"/>
      <c r="F37" s="233"/>
      <c r="G37" s="233"/>
      <c r="J37" s="232"/>
      <c r="K37" s="232"/>
      <c r="L37" s="233"/>
      <c r="M37" s="233"/>
      <c r="N37" s="233"/>
      <c r="O37" s="233"/>
    </row>
    <row r="39" spans="2:15">
      <c r="B39" s="225" t="s">
        <v>318</v>
      </c>
      <c r="C39" s="225" t="s">
        <v>319</v>
      </c>
    </row>
    <row r="40" spans="2:15">
      <c r="C40" s="225" t="s">
        <v>320</v>
      </c>
    </row>
    <row r="41" spans="2:15">
      <c r="C41" s="225" t="s">
        <v>321</v>
      </c>
    </row>
    <row r="42" spans="2:15">
      <c r="C42" s="225" t="s">
        <v>322</v>
      </c>
    </row>
    <row r="43" spans="2:15" ht="12" customHeight="1"/>
    <row r="46" spans="2:15">
      <c r="B46" s="242" t="s">
        <v>325</v>
      </c>
      <c r="D46" s="231">
        <f>RATE($B$18-$B$14,,-D14,D18)</f>
        <v>1.6816503708257817E-2</v>
      </c>
      <c r="E46" s="231">
        <f t="shared" ref="E46:G46" si="5">RATE($B$18-$B$14,,-E14,E18)</f>
        <v>1.6373140853829307E-2</v>
      </c>
      <c r="F46" s="231">
        <f t="shared" si="5"/>
        <v>1.4575500270048652E-2</v>
      </c>
      <c r="G46" s="231">
        <f t="shared" si="5"/>
        <v>1.110789302260338E-2</v>
      </c>
    </row>
    <row r="47" spans="2:15">
      <c r="B47" s="1003" t="s">
        <v>585</v>
      </c>
      <c r="D47" s="231">
        <f>RATE($B$24-$B$19,,-D19,D24)</f>
        <v>1.5885157000976449E-2</v>
      </c>
      <c r="E47" s="231">
        <f t="shared" ref="E47:G47" si="6">RATE($B$24-$B$19,,-E19,E24)</f>
        <v>1.5247139903171305E-2</v>
      </c>
      <c r="F47" s="231">
        <f t="shared" si="6"/>
        <v>1.2788118744428301E-2</v>
      </c>
      <c r="G47" s="231">
        <f t="shared" si="6"/>
        <v>9.3869684796815192E-3</v>
      </c>
    </row>
    <row r="48" spans="2:15">
      <c r="B48" s="242" t="s">
        <v>326</v>
      </c>
      <c r="D48" s="231">
        <f>RATE($B$29-$B$25,,-D25,D29)</f>
        <v>1.4927829783677175E-2</v>
      </c>
      <c r="E48" s="231">
        <f t="shared" ref="E48" si="7">RATE($B$29-$B$25,,-E25,E29)</f>
        <v>1.7405571087772041E-2</v>
      </c>
      <c r="F48" s="231">
        <f>RATE($B$29-$B$25,,-F25,F29)</f>
        <v>1.0952193260120828E-2</v>
      </c>
      <c r="G48" s="231">
        <f>RATE($B$29-$B$25,,-G25,G29)</f>
        <v>7.2192922789748384E-3</v>
      </c>
    </row>
    <row r="49" spans="2:7">
      <c r="B49" s="1003" t="s">
        <v>586</v>
      </c>
      <c r="D49" s="231">
        <f>RATE($B$34-$B$30,,-D30,D34)</f>
        <v>1.4297135252512303E-2</v>
      </c>
      <c r="E49" s="231">
        <f t="shared" ref="E49:F49" si="8">RATE($B$34-$B$30,,-E30,E34)</f>
        <v>1.2756778393486767E-2</v>
      </c>
      <c r="F49" s="231">
        <f t="shared" si="8"/>
        <v>9.5031178952699261E-3</v>
      </c>
      <c r="G49" s="231">
        <f>RATE($B$34-$B$30,,-G30,G34)</f>
        <v>5.1852593561144932E-3</v>
      </c>
    </row>
  </sheetData>
  <mergeCells count="17">
    <mergeCell ref="M9:M10"/>
    <mergeCell ref="N9:N10"/>
    <mergeCell ref="O9:O10"/>
    <mergeCell ref="B3:F3"/>
    <mergeCell ref="J4:O5"/>
    <mergeCell ref="B6:G6"/>
    <mergeCell ref="B7:G7"/>
    <mergeCell ref="B9:B10"/>
    <mergeCell ref="D9:D10"/>
    <mergeCell ref="E9:E10"/>
    <mergeCell ref="F9:F10"/>
    <mergeCell ref="G9:G10"/>
    <mergeCell ref="B4:G5"/>
    <mergeCell ref="J6:O6"/>
    <mergeCell ref="J7:O7"/>
    <mergeCell ref="J9:J10"/>
    <mergeCell ref="L9:L10"/>
  </mergeCells>
  <pageMargins left="0.70866141732283472" right="0.70866141732283472" top="0.74803149606299213" bottom="0.74803149606299213" header="0.31496062992125984" footer="0.31496062992125984"/>
  <pageSetup scale="70" orientation="landscape" r:id="rId1"/>
</worksheet>
</file>

<file path=xl/worksheets/sheet4.xml><?xml version="1.0" encoding="utf-8"?>
<worksheet xmlns="http://schemas.openxmlformats.org/spreadsheetml/2006/main" xmlns:r="http://schemas.openxmlformats.org/officeDocument/2006/relationships">
  <sheetPr codeName="Hoja5">
    <pageSetUpPr fitToPage="1"/>
  </sheetPr>
  <dimension ref="B1:E59"/>
  <sheetViews>
    <sheetView workbookViewId="0">
      <selection activeCell="B3" sqref="B3"/>
    </sheetView>
  </sheetViews>
  <sheetFormatPr baseColWidth="10" defaultRowHeight="12.75"/>
  <cols>
    <col min="3" max="3" width="16.140625" customWidth="1"/>
    <col min="4" max="4" width="17" customWidth="1"/>
  </cols>
  <sheetData>
    <row r="1" spans="2:4">
      <c r="B1" s="3" t="s">
        <v>66</v>
      </c>
    </row>
    <row r="2" spans="2:4">
      <c r="B2" s="1183" t="s">
        <v>592</v>
      </c>
      <c r="C2" s="1184"/>
      <c r="D2" s="1184"/>
    </row>
    <row r="3" spans="2:4" ht="13.5" thickBot="1"/>
    <row r="4" spans="2:4">
      <c r="B4" s="1194" t="s">
        <v>69</v>
      </c>
      <c r="C4" s="77" t="s">
        <v>10</v>
      </c>
      <c r="D4" s="78" t="s">
        <v>11</v>
      </c>
    </row>
    <row r="5" spans="2:4" ht="22.5" customHeight="1">
      <c r="B5" s="1195"/>
      <c r="C5" s="69" t="s">
        <v>13</v>
      </c>
      <c r="D5" s="79" t="s">
        <v>14</v>
      </c>
    </row>
    <row r="6" spans="2:4">
      <c r="B6" s="1195"/>
      <c r="C6" s="70" t="s">
        <v>68</v>
      </c>
      <c r="D6" s="80" t="s">
        <v>24</v>
      </c>
    </row>
    <row r="7" spans="2:4">
      <c r="B7" s="1196"/>
      <c r="C7" s="81" t="s">
        <v>2</v>
      </c>
      <c r="D7" s="82" t="s">
        <v>17</v>
      </c>
    </row>
    <row r="8" spans="2:4" ht="14.25">
      <c r="B8" s="71">
        <v>1970</v>
      </c>
      <c r="C8" s="83">
        <f t="shared" ref="C8:C24" si="0">ROUND(C9/(1+D9/100),1)</f>
        <v>42.2</v>
      </c>
      <c r="D8" s="84"/>
    </row>
    <row r="9" spans="2:4" ht="14.25">
      <c r="B9" s="72">
        <f>+B8+1</f>
        <v>1971</v>
      </c>
      <c r="C9" s="73">
        <f t="shared" si="0"/>
        <v>43</v>
      </c>
      <c r="D9" s="74">
        <v>2</v>
      </c>
    </row>
    <row r="10" spans="2:4" ht="14.25">
      <c r="B10" s="72">
        <f t="shared" ref="B10:B50" si="1">+B9+1</f>
        <v>1972</v>
      </c>
      <c r="C10" s="73">
        <f t="shared" si="0"/>
        <v>45.4</v>
      </c>
      <c r="D10" s="74">
        <v>5.6</v>
      </c>
    </row>
    <row r="11" spans="2:4" ht="14.25">
      <c r="B11" s="72">
        <f t="shared" si="1"/>
        <v>1973</v>
      </c>
      <c r="C11" s="73">
        <f t="shared" si="0"/>
        <v>48.5</v>
      </c>
      <c r="D11" s="74">
        <v>6.9</v>
      </c>
    </row>
    <row r="12" spans="2:4" ht="14.25">
      <c r="B12" s="72">
        <f t="shared" si="1"/>
        <v>1974</v>
      </c>
      <c r="C12" s="73">
        <f t="shared" si="0"/>
        <v>56.9</v>
      </c>
      <c r="D12" s="74">
        <v>17.3</v>
      </c>
    </row>
    <row r="13" spans="2:4" ht="14.25">
      <c r="B13" s="72">
        <f t="shared" si="1"/>
        <v>1975</v>
      </c>
      <c r="C13" s="73">
        <f t="shared" si="0"/>
        <v>60</v>
      </c>
      <c r="D13" s="74">
        <v>5.5</v>
      </c>
    </row>
    <row r="14" spans="2:4" ht="14.25">
      <c r="B14" s="72">
        <f t="shared" si="1"/>
        <v>1976</v>
      </c>
      <c r="C14" s="73">
        <f t="shared" si="0"/>
        <v>62.4</v>
      </c>
      <c r="D14" s="74">
        <v>4</v>
      </c>
    </row>
    <row r="15" spans="2:4" ht="14.25">
      <c r="B15" s="72">
        <f t="shared" si="1"/>
        <v>1977</v>
      </c>
      <c r="C15" s="73">
        <f t="shared" si="0"/>
        <v>65.400000000000006</v>
      </c>
      <c r="D15" s="74">
        <v>4.8</v>
      </c>
    </row>
    <row r="16" spans="2:4" ht="14.25">
      <c r="B16" s="72">
        <f t="shared" si="1"/>
        <v>1978</v>
      </c>
      <c r="C16" s="73">
        <f t="shared" si="0"/>
        <v>68.3</v>
      </c>
      <c r="D16" s="74">
        <v>4.4000000000000004</v>
      </c>
    </row>
    <row r="17" spans="2:4" ht="14.25">
      <c r="B17" s="72">
        <f t="shared" si="1"/>
        <v>1979</v>
      </c>
      <c r="C17" s="73">
        <f t="shared" si="0"/>
        <v>73.8</v>
      </c>
      <c r="D17" s="74">
        <v>8</v>
      </c>
    </row>
    <row r="18" spans="2:4" ht="14.25">
      <c r="B18" s="72">
        <f t="shared" si="1"/>
        <v>1980</v>
      </c>
      <c r="C18" s="73">
        <f t="shared" si="0"/>
        <v>84.3</v>
      </c>
      <c r="D18" s="74">
        <v>14.2</v>
      </c>
    </row>
    <row r="19" spans="2:4" ht="14.25">
      <c r="B19" s="72">
        <f t="shared" si="1"/>
        <v>1981</v>
      </c>
      <c r="C19" s="73">
        <f t="shared" si="0"/>
        <v>90.6</v>
      </c>
      <c r="D19" s="74">
        <v>7.5</v>
      </c>
    </row>
    <row r="20" spans="2:4" ht="14.25">
      <c r="B20" s="72">
        <f t="shared" si="1"/>
        <v>1982</v>
      </c>
      <c r="C20" s="73">
        <f t="shared" si="0"/>
        <v>94.5</v>
      </c>
      <c r="D20" s="74">
        <v>4.3</v>
      </c>
    </row>
    <row r="21" spans="2:4" ht="14.25">
      <c r="B21" s="72">
        <f t="shared" si="1"/>
        <v>1983</v>
      </c>
      <c r="C21" s="73">
        <f t="shared" si="0"/>
        <v>96.6</v>
      </c>
      <c r="D21" s="74">
        <v>2.2000000000000002</v>
      </c>
    </row>
    <row r="22" spans="2:4" ht="14.25">
      <c r="B22" s="72">
        <f t="shared" si="1"/>
        <v>1984</v>
      </c>
      <c r="C22" s="73">
        <f t="shared" si="0"/>
        <v>98.2</v>
      </c>
      <c r="D22" s="74">
        <v>1.7</v>
      </c>
    </row>
    <row r="23" spans="2:4" ht="14.25">
      <c r="B23" s="72">
        <f t="shared" si="1"/>
        <v>1985</v>
      </c>
      <c r="C23" s="73">
        <f t="shared" si="0"/>
        <v>99.1</v>
      </c>
      <c r="D23" s="74">
        <v>0.9</v>
      </c>
    </row>
    <row r="24" spans="2:4" ht="14.25">
      <c r="B24" s="72">
        <f t="shared" si="1"/>
        <v>1986</v>
      </c>
      <c r="C24" s="73">
        <f t="shared" si="0"/>
        <v>99.1</v>
      </c>
      <c r="D24" s="74">
        <v>0</v>
      </c>
    </row>
    <row r="25" spans="2:4" ht="14.25">
      <c r="B25" s="72">
        <f t="shared" si="1"/>
        <v>1987</v>
      </c>
      <c r="C25" s="73">
        <v>100</v>
      </c>
      <c r="D25" s="74">
        <v>0.9</v>
      </c>
    </row>
    <row r="26" spans="2:4" ht="14.25">
      <c r="B26" s="72">
        <f t="shared" si="1"/>
        <v>1988</v>
      </c>
      <c r="C26" s="73">
        <f t="shared" ref="C26:C44" si="2">ROUND(C25*(1+D26/100),1)</f>
        <v>100.5</v>
      </c>
      <c r="D26" s="74">
        <v>0.5</v>
      </c>
    </row>
    <row r="27" spans="2:4" ht="14.25">
      <c r="B27" s="72">
        <f t="shared" si="1"/>
        <v>1989</v>
      </c>
      <c r="C27" s="73">
        <f t="shared" si="2"/>
        <v>100.6</v>
      </c>
      <c r="D27" s="74">
        <v>0.1</v>
      </c>
    </row>
    <row r="28" spans="2:4" ht="14.25">
      <c r="B28" s="72">
        <f t="shared" si="1"/>
        <v>1990</v>
      </c>
      <c r="C28" s="73">
        <f t="shared" si="2"/>
        <v>101.4</v>
      </c>
      <c r="D28" s="74">
        <v>0.8</v>
      </c>
    </row>
    <row r="29" spans="2:4" ht="14.25">
      <c r="B29" s="72">
        <f t="shared" si="1"/>
        <v>1991</v>
      </c>
      <c r="C29" s="73">
        <f t="shared" si="2"/>
        <v>102.7</v>
      </c>
      <c r="D29" s="74">
        <v>1.3</v>
      </c>
    </row>
    <row r="30" spans="2:4" ht="14.25">
      <c r="B30" s="72">
        <f t="shared" si="1"/>
        <v>1992</v>
      </c>
      <c r="C30" s="73">
        <f t="shared" si="2"/>
        <v>104.5</v>
      </c>
      <c r="D30" s="74">
        <v>1.8</v>
      </c>
    </row>
    <row r="31" spans="2:4" ht="14.25">
      <c r="B31" s="72">
        <f t="shared" si="1"/>
        <v>1993</v>
      </c>
      <c r="C31" s="73">
        <f t="shared" si="2"/>
        <v>105</v>
      </c>
      <c r="D31" s="74">
        <v>0.5</v>
      </c>
    </row>
    <row r="32" spans="2:4" ht="14.25">
      <c r="B32" s="72">
        <f t="shared" si="1"/>
        <v>1994</v>
      </c>
      <c r="C32" s="73">
        <f t="shared" si="2"/>
        <v>106.4</v>
      </c>
      <c r="D32" s="74">
        <v>1.3</v>
      </c>
    </row>
    <row r="33" spans="2:4" ht="14.25">
      <c r="B33" s="72">
        <f t="shared" si="1"/>
        <v>1995</v>
      </c>
      <c r="C33" s="73">
        <f t="shared" si="2"/>
        <v>107.4</v>
      </c>
      <c r="D33" s="74">
        <v>0.9</v>
      </c>
    </row>
    <row r="34" spans="2:4" ht="14.25">
      <c r="B34" s="72">
        <f t="shared" si="1"/>
        <v>1996</v>
      </c>
      <c r="C34" s="73">
        <f t="shared" si="2"/>
        <v>108.8</v>
      </c>
      <c r="D34" s="74">
        <v>1.3</v>
      </c>
    </row>
    <row r="35" spans="2:4" ht="14.25">
      <c r="B35" s="72">
        <f t="shared" si="1"/>
        <v>1997</v>
      </c>
      <c r="C35" s="73">
        <f t="shared" si="2"/>
        <v>110.1</v>
      </c>
      <c r="D35" s="74">
        <v>1.2</v>
      </c>
    </row>
    <row r="36" spans="2:4" ht="14.25">
      <c r="B36" s="72">
        <f t="shared" si="1"/>
        <v>1998</v>
      </c>
      <c r="C36" s="73">
        <f t="shared" si="2"/>
        <v>110.8</v>
      </c>
      <c r="D36" s="74">
        <v>0.6</v>
      </c>
    </row>
    <row r="37" spans="2:4" ht="14.25">
      <c r="B37" s="72">
        <f t="shared" si="1"/>
        <v>1999</v>
      </c>
      <c r="C37" s="73">
        <f t="shared" si="2"/>
        <v>112.4</v>
      </c>
      <c r="D37" s="74">
        <v>1.4</v>
      </c>
    </row>
    <row r="38" spans="2:4" ht="14.25">
      <c r="B38" s="72">
        <f t="shared" si="1"/>
        <v>2000</v>
      </c>
      <c r="C38" s="73">
        <f t="shared" si="2"/>
        <v>114.1</v>
      </c>
      <c r="D38" s="74">
        <v>1.5</v>
      </c>
    </row>
    <row r="39" spans="2:4" ht="14.25">
      <c r="B39" s="72">
        <f t="shared" si="1"/>
        <v>2001</v>
      </c>
      <c r="C39" s="73">
        <f t="shared" si="2"/>
        <v>114.4</v>
      </c>
      <c r="D39" s="74">
        <v>0.3</v>
      </c>
    </row>
    <row r="40" spans="2:4" ht="14.25">
      <c r="B40" s="72">
        <f t="shared" si="1"/>
        <v>2002</v>
      </c>
      <c r="C40" s="73">
        <f t="shared" si="2"/>
        <v>115.8</v>
      </c>
      <c r="D40" s="74">
        <v>1.2</v>
      </c>
    </row>
    <row r="41" spans="2:4" ht="14.25">
      <c r="B41" s="72">
        <f t="shared" si="1"/>
        <v>2003</v>
      </c>
      <c r="C41" s="75">
        <f t="shared" si="2"/>
        <v>117.7</v>
      </c>
      <c r="D41" s="76">
        <v>1.6</v>
      </c>
    </row>
    <row r="42" spans="2:4" ht="14.25">
      <c r="B42" s="72">
        <f t="shared" si="1"/>
        <v>2004</v>
      </c>
      <c r="C42" s="75">
        <f t="shared" si="2"/>
        <v>119.4</v>
      </c>
      <c r="D42" s="76">
        <v>1.4166666666666856</v>
      </c>
    </row>
    <row r="43" spans="2:4" ht="14.25">
      <c r="B43" s="72">
        <f t="shared" si="1"/>
        <v>2005</v>
      </c>
      <c r="C43" s="75">
        <f t="shared" si="2"/>
        <v>122.8</v>
      </c>
      <c r="D43" s="76">
        <v>2.8749999999999858</v>
      </c>
    </row>
    <row r="44" spans="2:4" ht="14.25">
      <c r="B44" s="72">
        <f t="shared" si="1"/>
        <v>2006</v>
      </c>
      <c r="C44" s="75">
        <f t="shared" si="2"/>
        <v>125.8</v>
      </c>
      <c r="D44" s="76">
        <v>2.4724999999999682</v>
      </c>
    </row>
    <row r="45" spans="2:4" ht="14.25">
      <c r="B45" s="72">
        <f t="shared" si="1"/>
        <v>2007</v>
      </c>
      <c r="C45" s="75">
        <f>ROUND(C44*(1+D45/100),1)</f>
        <v>134</v>
      </c>
      <c r="D45" s="76">
        <v>6.5</v>
      </c>
    </row>
    <row r="46" spans="2:4" ht="14.25">
      <c r="B46" s="72">
        <f t="shared" si="1"/>
        <v>2008</v>
      </c>
      <c r="C46" s="75">
        <f>ROUND(C45*(1+D46/100),1)</f>
        <v>145.69999999999999</v>
      </c>
      <c r="D46" s="76">
        <v>8.6957000000000004</v>
      </c>
    </row>
    <row r="47" spans="2:4" ht="14.25">
      <c r="B47" s="72">
        <f t="shared" si="1"/>
        <v>2009</v>
      </c>
      <c r="C47" s="243">
        <f>ROUND(C46*(1+D47/100),1)</f>
        <v>149.19999999999999</v>
      </c>
      <c r="D47" s="244">
        <v>2.4</v>
      </c>
    </row>
    <row r="48" spans="2:4" ht="14.25">
      <c r="B48" s="72">
        <f t="shared" si="1"/>
        <v>2010</v>
      </c>
      <c r="C48" s="75">
        <f>ROUND(C47*(1+D48/100),1)</f>
        <v>154.4</v>
      </c>
      <c r="D48" s="76">
        <v>3.5</v>
      </c>
    </row>
    <row r="49" spans="2:5" ht="14.25">
      <c r="B49" s="72">
        <f t="shared" si="1"/>
        <v>2011</v>
      </c>
      <c r="C49" s="75">
        <f t="shared" ref="C49:C50" si="3">ROUND(C48*(1+D49/100),1)</f>
        <v>163.5</v>
      </c>
      <c r="D49" s="76">
        <v>5.9</v>
      </c>
    </row>
    <row r="50" spans="2:5" ht="15" thickBot="1">
      <c r="B50" s="173">
        <f t="shared" si="1"/>
        <v>2012</v>
      </c>
      <c r="C50" s="174">
        <f t="shared" si="3"/>
        <v>172.8</v>
      </c>
      <c r="D50" s="119">
        <v>5.7</v>
      </c>
    </row>
    <row r="53" spans="2:5">
      <c r="B53" s="156" t="s">
        <v>474</v>
      </c>
      <c r="C53" s="1004" t="s">
        <v>1</v>
      </c>
      <c r="D53" s="1004" t="s">
        <v>41</v>
      </c>
    </row>
    <row r="55" spans="2:5">
      <c r="B55" s="156" t="s">
        <v>589</v>
      </c>
      <c r="C55" s="1005">
        <f>AVERAGE(D28:D37)</f>
        <v>1.1099999999999999</v>
      </c>
      <c r="D55" s="27">
        <f>RATE(B37-B27,,-C27,C37)</f>
        <v>1.1152903009724806E-2</v>
      </c>
    </row>
    <row r="56" spans="2:5">
      <c r="B56" s="156" t="s">
        <v>542</v>
      </c>
      <c r="C56" s="1005">
        <f>AVERAGE(D37:D50)</f>
        <v>3.2471333333333314</v>
      </c>
      <c r="D56" s="27">
        <f>RATE(B50-B36,,-C36,C50)</f>
        <v>3.2252630845832887E-2</v>
      </c>
    </row>
    <row r="57" spans="2:5">
      <c r="B57" s="156" t="s">
        <v>148</v>
      </c>
      <c r="C57" s="1005">
        <f>AVERAGE(D38:D51)</f>
        <v>3.3892205128205108</v>
      </c>
      <c r="D57" s="27">
        <f>RATE(B47-B28,,-C28,C47)</f>
        <v>2.0535086173291629E-2</v>
      </c>
    </row>
    <row r="58" spans="2:5">
      <c r="B58" s="156" t="s">
        <v>591</v>
      </c>
      <c r="C58" s="1005">
        <f>AVERAGE(D37:D43)</f>
        <v>1.470238095238096</v>
      </c>
      <c r="D58" s="27">
        <f>RATE(B43-B36,,-C36,C43)</f>
        <v>1.4798463332868914E-2</v>
      </c>
    </row>
    <row r="59" spans="2:5">
      <c r="B59" s="156" t="s">
        <v>590</v>
      </c>
      <c r="C59" s="1005">
        <f>AVERAGE(D44:D50)</f>
        <v>5.0240285714285671</v>
      </c>
      <c r="D59" s="27">
        <f>RATE(B50-B43,,-C43,C50)</f>
        <v>5.0007003745794407E-2</v>
      </c>
      <c r="E59" s="8">
        <f>AVERAGE(D43:D47)</f>
        <v>4.5886399999999909</v>
      </c>
    </row>
  </sheetData>
  <mergeCells count="2">
    <mergeCell ref="B4:B7"/>
    <mergeCell ref="B2:D2"/>
  </mergeCells>
  <phoneticPr fontId="0" type="noConversion"/>
  <printOptions horizontalCentered="1" verticalCentered="1"/>
  <pageMargins left="0.74803149606299213" right="0.74803149606299213" top="0.51181102362204722" bottom="0.78740157480314965" header="0" footer="0.43307086614173229"/>
  <pageSetup scale="93" orientation="portrait" r:id="rId1"/>
  <headerFooter alignWithMargins="0">
    <oddFooter>&amp;LARCHIVO: &amp;F
HOJA: &amp;A&amp;R&amp;D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4:AT87"/>
  <sheetViews>
    <sheetView view="pageBreakPreview" zoomScale="75" zoomScaleNormal="75" zoomScaleSheetLayoutView="75" workbookViewId="0">
      <pane xSplit="3" ySplit="8" topLeftCell="D18" activePane="bottomRight" state="frozen"/>
      <selection pane="topRight" activeCell="D1" sqref="D1"/>
      <selection pane="bottomLeft" activeCell="A4" sqref="A4"/>
      <selection pane="bottomRight" activeCell="F52" sqref="F52"/>
    </sheetView>
  </sheetViews>
  <sheetFormatPr baseColWidth="10" defaultRowHeight="12.75"/>
  <cols>
    <col min="1" max="2" width="11.42578125" style="238"/>
    <col min="3" max="3" width="33" style="238" customWidth="1"/>
    <col min="4" max="7" width="12.7109375" style="238" customWidth="1"/>
    <col min="8" max="14" width="12.7109375" style="473" customWidth="1"/>
    <col min="15" max="15" width="16.7109375" style="473" customWidth="1"/>
    <col min="16" max="16" width="8.140625" style="474" customWidth="1"/>
    <col min="17" max="17" width="16.28515625" style="238" customWidth="1"/>
    <col min="18" max="18" width="7.85546875" style="238" customWidth="1"/>
    <col min="19" max="19" width="16.28515625" style="238" customWidth="1"/>
    <col min="20" max="20" width="8.28515625" style="238" customWidth="1"/>
    <col min="21" max="21" width="16.42578125" style="238" customWidth="1"/>
    <col min="22" max="22" width="7.28515625" style="238" customWidth="1"/>
    <col min="23" max="24" width="7.5703125" style="238" customWidth="1"/>
    <col min="25" max="25" width="20.5703125" style="238" customWidth="1"/>
    <col min="26" max="26" width="15.28515625" style="238" customWidth="1"/>
    <col min="27" max="28" width="7.5703125" style="238" customWidth="1"/>
    <col min="29" max="29" width="8" style="238" bestFit="1" customWidth="1"/>
    <col min="30" max="30" width="7" style="238" bestFit="1" customWidth="1"/>
    <col min="31" max="31" width="7.7109375" style="238" bestFit="1" customWidth="1"/>
    <col min="32" max="32" width="8" style="238" bestFit="1" customWidth="1"/>
    <col min="33" max="33" width="6.85546875" style="238" customWidth="1"/>
    <col min="34" max="34" width="7.85546875" style="238" customWidth="1"/>
    <col min="35" max="35" width="6.85546875" style="238" customWidth="1"/>
    <col min="36" max="38" width="7.85546875" style="238" customWidth="1"/>
    <col min="39" max="39" width="12.140625" style="238" customWidth="1"/>
    <col min="40" max="45" width="11.7109375" style="238" customWidth="1"/>
    <col min="46" max="258" width="11.42578125" style="238"/>
    <col min="259" max="259" width="33" style="238" customWidth="1"/>
    <col min="260" max="270" width="12.7109375" style="238" customWidth="1"/>
    <col min="271" max="271" width="16.7109375" style="238" customWidth="1"/>
    <col min="272" max="272" width="8.140625" style="238" customWidth="1"/>
    <col min="273" max="273" width="16.28515625" style="238" customWidth="1"/>
    <col min="274" max="274" width="7.85546875" style="238" customWidth="1"/>
    <col min="275" max="275" width="16.28515625" style="238" customWidth="1"/>
    <col min="276" max="276" width="8.28515625" style="238" customWidth="1"/>
    <col min="277" max="277" width="16.42578125" style="238" customWidth="1"/>
    <col min="278" max="278" width="7.28515625" style="238" customWidth="1"/>
    <col min="279" max="280" width="7.5703125" style="238" customWidth="1"/>
    <col min="281" max="281" width="20.5703125" style="238" customWidth="1"/>
    <col min="282" max="282" width="15.28515625" style="238" customWidth="1"/>
    <col min="283" max="284" width="7.5703125" style="238" customWidth="1"/>
    <col min="285" max="285" width="8" style="238" bestFit="1" customWidth="1"/>
    <col min="286" max="286" width="7" style="238" bestFit="1" customWidth="1"/>
    <col min="287" max="287" width="7.7109375" style="238" bestFit="1" customWidth="1"/>
    <col min="288" max="288" width="8" style="238" bestFit="1" customWidth="1"/>
    <col min="289" max="289" width="6.85546875" style="238" customWidth="1"/>
    <col min="290" max="290" width="7.85546875" style="238" customWidth="1"/>
    <col min="291" max="291" width="6.85546875" style="238" customWidth="1"/>
    <col min="292" max="294" width="7.85546875" style="238" customWidth="1"/>
    <col min="295" max="295" width="12.140625" style="238" customWidth="1"/>
    <col min="296" max="301" width="11.7109375" style="238" customWidth="1"/>
    <col min="302" max="514" width="11.42578125" style="238"/>
    <col min="515" max="515" width="33" style="238" customWidth="1"/>
    <col min="516" max="526" width="12.7109375" style="238" customWidth="1"/>
    <col min="527" max="527" width="16.7109375" style="238" customWidth="1"/>
    <col min="528" max="528" width="8.140625" style="238" customWidth="1"/>
    <col min="529" max="529" width="16.28515625" style="238" customWidth="1"/>
    <col min="530" max="530" width="7.85546875" style="238" customWidth="1"/>
    <col min="531" max="531" width="16.28515625" style="238" customWidth="1"/>
    <col min="532" max="532" width="8.28515625" style="238" customWidth="1"/>
    <col min="533" max="533" width="16.42578125" style="238" customWidth="1"/>
    <col min="534" max="534" width="7.28515625" style="238" customWidth="1"/>
    <col min="535" max="536" width="7.5703125" style="238" customWidth="1"/>
    <col min="537" max="537" width="20.5703125" style="238" customWidth="1"/>
    <col min="538" max="538" width="15.28515625" style="238" customWidth="1"/>
    <col min="539" max="540" width="7.5703125" style="238" customWidth="1"/>
    <col min="541" max="541" width="8" style="238" bestFit="1" customWidth="1"/>
    <col min="542" max="542" width="7" style="238" bestFit="1" customWidth="1"/>
    <col min="543" max="543" width="7.7109375" style="238" bestFit="1" customWidth="1"/>
    <col min="544" max="544" width="8" style="238" bestFit="1" customWidth="1"/>
    <col min="545" max="545" width="6.85546875" style="238" customWidth="1"/>
    <col min="546" max="546" width="7.85546875" style="238" customWidth="1"/>
    <col min="547" max="547" width="6.85546875" style="238" customWidth="1"/>
    <col min="548" max="550" width="7.85546875" style="238" customWidth="1"/>
    <col min="551" max="551" width="12.140625" style="238" customWidth="1"/>
    <col min="552" max="557" width="11.7109375" style="238" customWidth="1"/>
    <col min="558" max="770" width="11.42578125" style="238"/>
    <col min="771" max="771" width="33" style="238" customWidth="1"/>
    <col min="772" max="782" width="12.7109375" style="238" customWidth="1"/>
    <col min="783" max="783" width="16.7109375" style="238" customWidth="1"/>
    <col min="784" max="784" width="8.140625" style="238" customWidth="1"/>
    <col min="785" max="785" width="16.28515625" style="238" customWidth="1"/>
    <col min="786" max="786" width="7.85546875" style="238" customWidth="1"/>
    <col min="787" max="787" width="16.28515625" style="238" customWidth="1"/>
    <col min="788" max="788" width="8.28515625" style="238" customWidth="1"/>
    <col min="789" max="789" width="16.42578125" style="238" customWidth="1"/>
    <col min="790" max="790" width="7.28515625" style="238" customWidth="1"/>
    <col min="791" max="792" width="7.5703125" style="238" customWidth="1"/>
    <col min="793" max="793" width="20.5703125" style="238" customWidth="1"/>
    <col min="794" max="794" width="15.28515625" style="238" customWidth="1"/>
    <col min="795" max="796" width="7.5703125" style="238" customWidth="1"/>
    <col min="797" max="797" width="8" style="238" bestFit="1" customWidth="1"/>
    <col min="798" max="798" width="7" style="238" bestFit="1" customWidth="1"/>
    <col min="799" max="799" width="7.7109375" style="238" bestFit="1" customWidth="1"/>
    <col min="800" max="800" width="8" style="238" bestFit="1" customWidth="1"/>
    <col min="801" max="801" width="6.85546875" style="238" customWidth="1"/>
    <col min="802" max="802" width="7.85546875" style="238" customWidth="1"/>
    <col min="803" max="803" width="6.85546875" style="238" customWidth="1"/>
    <col min="804" max="806" width="7.85546875" style="238" customWidth="1"/>
    <col min="807" max="807" width="12.140625" style="238" customWidth="1"/>
    <col min="808" max="813" width="11.7109375" style="238" customWidth="1"/>
    <col min="814" max="1026" width="11.42578125" style="238"/>
    <col min="1027" max="1027" width="33" style="238" customWidth="1"/>
    <col min="1028" max="1038" width="12.7109375" style="238" customWidth="1"/>
    <col min="1039" max="1039" width="16.7109375" style="238" customWidth="1"/>
    <col min="1040" max="1040" width="8.140625" style="238" customWidth="1"/>
    <col min="1041" max="1041" width="16.28515625" style="238" customWidth="1"/>
    <col min="1042" max="1042" width="7.85546875" style="238" customWidth="1"/>
    <col min="1043" max="1043" width="16.28515625" style="238" customWidth="1"/>
    <col min="1044" max="1044" width="8.28515625" style="238" customWidth="1"/>
    <col min="1045" max="1045" width="16.42578125" style="238" customWidth="1"/>
    <col min="1046" max="1046" width="7.28515625" style="238" customWidth="1"/>
    <col min="1047" max="1048" width="7.5703125" style="238" customWidth="1"/>
    <col min="1049" max="1049" width="20.5703125" style="238" customWidth="1"/>
    <col min="1050" max="1050" width="15.28515625" style="238" customWidth="1"/>
    <col min="1051" max="1052" width="7.5703125" style="238" customWidth="1"/>
    <col min="1053" max="1053" width="8" style="238" bestFit="1" customWidth="1"/>
    <col min="1054" max="1054" width="7" style="238" bestFit="1" customWidth="1"/>
    <col min="1055" max="1055" width="7.7109375" style="238" bestFit="1" customWidth="1"/>
    <col min="1056" max="1056" width="8" style="238" bestFit="1" customWidth="1"/>
    <col min="1057" max="1057" width="6.85546875" style="238" customWidth="1"/>
    <col min="1058" max="1058" width="7.85546875" style="238" customWidth="1"/>
    <col min="1059" max="1059" width="6.85546875" style="238" customWidth="1"/>
    <col min="1060" max="1062" width="7.85546875" style="238" customWidth="1"/>
    <col min="1063" max="1063" width="12.140625" style="238" customWidth="1"/>
    <col min="1064" max="1069" width="11.7109375" style="238" customWidth="1"/>
    <col min="1070" max="1282" width="11.42578125" style="238"/>
    <col min="1283" max="1283" width="33" style="238" customWidth="1"/>
    <col min="1284" max="1294" width="12.7109375" style="238" customWidth="1"/>
    <col min="1295" max="1295" width="16.7109375" style="238" customWidth="1"/>
    <col min="1296" max="1296" width="8.140625" style="238" customWidth="1"/>
    <col min="1297" max="1297" width="16.28515625" style="238" customWidth="1"/>
    <col min="1298" max="1298" width="7.85546875" style="238" customWidth="1"/>
    <col min="1299" max="1299" width="16.28515625" style="238" customWidth="1"/>
    <col min="1300" max="1300" width="8.28515625" style="238" customWidth="1"/>
    <col min="1301" max="1301" width="16.42578125" style="238" customWidth="1"/>
    <col min="1302" max="1302" width="7.28515625" style="238" customWidth="1"/>
    <col min="1303" max="1304" width="7.5703125" style="238" customWidth="1"/>
    <col min="1305" max="1305" width="20.5703125" style="238" customWidth="1"/>
    <col min="1306" max="1306" width="15.28515625" style="238" customWidth="1"/>
    <col min="1307" max="1308" width="7.5703125" style="238" customWidth="1"/>
    <col min="1309" max="1309" width="8" style="238" bestFit="1" customWidth="1"/>
    <col min="1310" max="1310" width="7" style="238" bestFit="1" customWidth="1"/>
    <col min="1311" max="1311" width="7.7109375" style="238" bestFit="1" customWidth="1"/>
    <col min="1312" max="1312" width="8" style="238" bestFit="1" customWidth="1"/>
    <col min="1313" max="1313" width="6.85546875" style="238" customWidth="1"/>
    <col min="1314" max="1314" width="7.85546875" style="238" customWidth="1"/>
    <col min="1315" max="1315" width="6.85546875" style="238" customWidth="1"/>
    <col min="1316" max="1318" width="7.85546875" style="238" customWidth="1"/>
    <col min="1319" max="1319" width="12.140625" style="238" customWidth="1"/>
    <col min="1320" max="1325" width="11.7109375" style="238" customWidth="1"/>
    <col min="1326" max="1538" width="11.42578125" style="238"/>
    <col min="1539" max="1539" width="33" style="238" customWidth="1"/>
    <col min="1540" max="1550" width="12.7109375" style="238" customWidth="1"/>
    <col min="1551" max="1551" width="16.7109375" style="238" customWidth="1"/>
    <col min="1552" max="1552" width="8.140625" style="238" customWidth="1"/>
    <col min="1553" max="1553" width="16.28515625" style="238" customWidth="1"/>
    <col min="1554" max="1554" width="7.85546875" style="238" customWidth="1"/>
    <col min="1555" max="1555" width="16.28515625" style="238" customWidth="1"/>
    <col min="1556" max="1556" width="8.28515625" style="238" customWidth="1"/>
    <col min="1557" max="1557" width="16.42578125" style="238" customWidth="1"/>
    <col min="1558" max="1558" width="7.28515625" style="238" customWidth="1"/>
    <col min="1559" max="1560" width="7.5703125" style="238" customWidth="1"/>
    <col min="1561" max="1561" width="20.5703125" style="238" customWidth="1"/>
    <col min="1562" max="1562" width="15.28515625" style="238" customWidth="1"/>
    <col min="1563" max="1564" width="7.5703125" style="238" customWidth="1"/>
    <col min="1565" max="1565" width="8" style="238" bestFit="1" customWidth="1"/>
    <col min="1566" max="1566" width="7" style="238" bestFit="1" customWidth="1"/>
    <col min="1567" max="1567" width="7.7109375" style="238" bestFit="1" customWidth="1"/>
    <col min="1568" max="1568" width="8" style="238" bestFit="1" customWidth="1"/>
    <col min="1569" max="1569" width="6.85546875" style="238" customWidth="1"/>
    <col min="1570" max="1570" width="7.85546875" style="238" customWidth="1"/>
    <col min="1571" max="1571" width="6.85546875" style="238" customWidth="1"/>
    <col min="1572" max="1574" width="7.85546875" style="238" customWidth="1"/>
    <col min="1575" max="1575" width="12.140625" style="238" customWidth="1"/>
    <col min="1576" max="1581" width="11.7109375" style="238" customWidth="1"/>
    <col min="1582" max="1794" width="11.42578125" style="238"/>
    <col min="1795" max="1795" width="33" style="238" customWidth="1"/>
    <col min="1796" max="1806" width="12.7109375" style="238" customWidth="1"/>
    <col min="1807" max="1807" width="16.7109375" style="238" customWidth="1"/>
    <col min="1808" max="1808" width="8.140625" style="238" customWidth="1"/>
    <col min="1809" max="1809" width="16.28515625" style="238" customWidth="1"/>
    <col min="1810" max="1810" width="7.85546875" style="238" customWidth="1"/>
    <col min="1811" max="1811" width="16.28515625" style="238" customWidth="1"/>
    <col min="1812" max="1812" width="8.28515625" style="238" customWidth="1"/>
    <col min="1813" max="1813" width="16.42578125" style="238" customWidth="1"/>
    <col min="1814" max="1814" width="7.28515625" style="238" customWidth="1"/>
    <col min="1815" max="1816" width="7.5703125" style="238" customWidth="1"/>
    <col min="1817" max="1817" width="20.5703125" style="238" customWidth="1"/>
    <col min="1818" max="1818" width="15.28515625" style="238" customWidth="1"/>
    <col min="1819" max="1820" width="7.5703125" style="238" customWidth="1"/>
    <col min="1821" max="1821" width="8" style="238" bestFit="1" customWidth="1"/>
    <col min="1822" max="1822" width="7" style="238" bestFit="1" customWidth="1"/>
    <col min="1823" max="1823" width="7.7109375" style="238" bestFit="1" customWidth="1"/>
    <col min="1824" max="1824" width="8" style="238" bestFit="1" customWidth="1"/>
    <col min="1825" max="1825" width="6.85546875" style="238" customWidth="1"/>
    <col min="1826" max="1826" width="7.85546875" style="238" customWidth="1"/>
    <col min="1827" max="1827" width="6.85546875" style="238" customWidth="1"/>
    <col min="1828" max="1830" width="7.85546875" style="238" customWidth="1"/>
    <col min="1831" max="1831" width="12.140625" style="238" customWidth="1"/>
    <col min="1832" max="1837" width="11.7109375" style="238" customWidth="1"/>
    <col min="1838" max="2050" width="11.42578125" style="238"/>
    <col min="2051" max="2051" width="33" style="238" customWidth="1"/>
    <col min="2052" max="2062" width="12.7109375" style="238" customWidth="1"/>
    <col min="2063" max="2063" width="16.7109375" style="238" customWidth="1"/>
    <col min="2064" max="2064" width="8.140625" style="238" customWidth="1"/>
    <col min="2065" max="2065" width="16.28515625" style="238" customWidth="1"/>
    <col min="2066" max="2066" width="7.85546875" style="238" customWidth="1"/>
    <col min="2067" max="2067" width="16.28515625" style="238" customWidth="1"/>
    <col min="2068" max="2068" width="8.28515625" style="238" customWidth="1"/>
    <col min="2069" max="2069" width="16.42578125" style="238" customWidth="1"/>
    <col min="2070" max="2070" width="7.28515625" style="238" customWidth="1"/>
    <col min="2071" max="2072" width="7.5703125" style="238" customWidth="1"/>
    <col min="2073" max="2073" width="20.5703125" style="238" customWidth="1"/>
    <col min="2074" max="2074" width="15.28515625" style="238" customWidth="1"/>
    <col min="2075" max="2076" width="7.5703125" style="238" customWidth="1"/>
    <col min="2077" max="2077" width="8" style="238" bestFit="1" customWidth="1"/>
    <col min="2078" max="2078" width="7" style="238" bestFit="1" customWidth="1"/>
    <col min="2079" max="2079" width="7.7109375" style="238" bestFit="1" customWidth="1"/>
    <col min="2080" max="2080" width="8" style="238" bestFit="1" customWidth="1"/>
    <col min="2081" max="2081" width="6.85546875" style="238" customWidth="1"/>
    <col min="2082" max="2082" width="7.85546875" style="238" customWidth="1"/>
    <col min="2083" max="2083" width="6.85546875" style="238" customWidth="1"/>
    <col min="2084" max="2086" width="7.85546875" style="238" customWidth="1"/>
    <col min="2087" max="2087" width="12.140625" style="238" customWidth="1"/>
    <col min="2088" max="2093" width="11.7109375" style="238" customWidth="1"/>
    <col min="2094" max="2306" width="11.42578125" style="238"/>
    <col min="2307" max="2307" width="33" style="238" customWidth="1"/>
    <col min="2308" max="2318" width="12.7109375" style="238" customWidth="1"/>
    <col min="2319" max="2319" width="16.7109375" style="238" customWidth="1"/>
    <col min="2320" max="2320" width="8.140625" style="238" customWidth="1"/>
    <col min="2321" max="2321" width="16.28515625" style="238" customWidth="1"/>
    <col min="2322" max="2322" width="7.85546875" style="238" customWidth="1"/>
    <col min="2323" max="2323" width="16.28515625" style="238" customWidth="1"/>
    <col min="2324" max="2324" width="8.28515625" style="238" customWidth="1"/>
    <col min="2325" max="2325" width="16.42578125" style="238" customWidth="1"/>
    <col min="2326" max="2326" width="7.28515625" style="238" customWidth="1"/>
    <col min="2327" max="2328" width="7.5703125" style="238" customWidth="1"/>
    <col min="2329" max="2329" width="20.5703125" style="238" customWidth="1"/>
    <col min="2330" max="2330" width="15.28515625" style="238" customWidth="1"/>
    <col min="2331" max="2332" width="7.5703125" style="238" customWidth="1"/>
    <col min="2333" max="2333" width="8" style="238" bestFit="1" customWidth="1"/>
    <col min="2334" max="2334" width="7" style="238" bestFit="1" customWidth="1"/>
    <col min="2335" max="2335" width="7.7109375" style="238" bestFit="1" customWidth="1"/>
    <col min="2336" max="2336" width="8" style="238" bestFit="1" customWidth="1"/>
    <col min="2337" max="2337" width="6.85546875" style="238" customWidth="1"/>
    <col min="2338" max="2338" width="7.85546875" style="238" customWidth="1"/>
    <col min="2339" max="2339" width="6.85546875" style="238" customWidth="1"/>
    <col min="2340" max="2342" width="7.85546875" style="238" customWidth="1"/>
    <col min="2343" max="2343" width="12.140625" style="238" customWidth="1"/>
    <col min="2344" max="2349" width="11.7109375" style="238" customWidth="1"/>
    <col min="2350" max="2562" width="11.42578125" style="238"/>
    <col min="2563" max="2563" width="33" style="238" customWidth="1"/>
    <col min="2564" max="2574" width="12.7109375" style="238" customWidth="1"/>
    <col min="2575" max="2575" width="16.7109375" style="238" customWidth="1"/>
    <col min="2576" max="2576" width="8.140625" style="238" customWidth="1"/>
    <col min="2577" max="2577" width="16.28515625" style="238" customWidth="1"/>
    <col min="2578" max="2578" width="7.85546875" style="238" customWidth="1"/>
    <col min="2579" max="2579" width="16.28515625" style="238" customWidth="1"/>
    <col min="2580" max="2580" width="8.28515625" style="238" customWidth="1"/>
    <col min="2581" max="2581" width="16.42578125" style="238" customWidth="1"/>
    <col min="2582" max="2582" width="7.28515625" style="238" customWidth="1"/>
    <col min="2583" max="2584" width="7.5703125" style="238" customWidth="1"/>
    <col min="2585" max="2585" width="20.5703125" style="238" customWidth="1"/>
    <col min="2586" max="2586" width="15.28515625" style="238" customWidth="1"/>
    <col min="2587" max="2588" width="7.5703125" style="238" customWidth="1"/>
    <col min="2589" max="2589" width="8" style="238" bestFit="1" customWidth="1"/>
    <col min="2590" max="2590" width="7" style="238" bestFit="1" customWidth="1"/>
    <col min="2591" max="2591" width="7.7109375" style="238" bestFit="1" customWidth="1"/>
    <col min="2592" max="2592" width="8" style="238" bestFit="1" customWidth="1"/>
    <col min="2593" max="2593" width="6.85546875" style="238" customWidth="1"/>
    <col min="2594" max="2594" width="7.85546875" style="238" customWidth="1"/>
    <col min="2595" max="2595" width="6.85546875" style="238" customWidth="1"/>
    <col min="2596" max="2598" width="7.85546875" style="238" customWidth="1"/>
    <col min="2599" max="2599" width="12.140625" style="238" customWidth="1"/>
    <col min="2600" max="2605" width="11.7109375" style="238" customWidth="1"/>
    <col min="2606" max="2818" width="11.42578125" style="238"/>
    <col min="2819" max="2819" width="33" style="238" customWidth="1"/>
    <col min="2820" max="2830" width="12.7109375" style="238" customWidth="1"/>
    <col min="2831" max="2831" width="16.7109375" style="238" customWidth="1"/>
    <col min="2832" max="2832" width="8.140625" style="238" customWidth="1"/>
    <col min="2833" max="2833" width="16.28515625" style="238" customWidth="1"/>
    <col min="2834" max="2834" width="7.85546875" style="238" customWidth="1"/>
    <col min="2835" max="2835" width="16.28515625" style="238" customWidth="1"/>
    <col min="2836" max="2836" width="8.28515625" style="238" customWidth="1"/>
    <col min="2837" max="2837" width="16.42578125" style="238" customWidth="1"/>
    <col min="2838" max="2838" width="7.28515625" style="238" customWidth="1"/>
    <col min="2839" max="2840" width="7.5703125" style="238" customWidth="1"/>
    <col min="2841" max="2841" width="20.5703125" style="238" customWidth="1"/>
    <col min="2842" max="2842" width="15.28515625" style="238" customWidth="1"/>
    <col min="2843" max="2844" width="7.5703125" style="238" customWidth="1"/>
    <col min="2845" max="2845" width="8" style="238" bestFit="1" customWidth="1"/>
    <col min="2846" max="2846" width="7" style="238" bestFit="1" customWidth="1"/>
    <col min="2847" max="2847" width="7.7109375" style="238" bestFit="1" customWidth="1"/>
    <col min="2848" max="2848" width="8" style="238" bestFit="1" customWidth="1"/>
    <col min="2849" max="2849" width="6.85546875" style="238" customWidth="1"/>
    <col min="2850" max="2850" width="7.85546875" style="238" customWidth="1"/>
    <col min="2851" max="2851" width="6.85546875" style="238" customWidth="1"/>
    <col min="2852" max="2854" width="7.85546875" style="238" customWidth="1"/>
    <col min="2855" max="2855" width="12.140625" style="238" customWidth="1"/>
    <col min="2856" max="2861" width="11.7109375" style="238" customWidth="1"/>
    <col min="2862" max="3074" width="11.42578125" style="238"/>
    <col min="3075" max="3075" width="33" style="238" customWidth="1"/>
    <col min="3076" max="3086" width="12.7109375" style="238" customWidth="1"/>
    <col min="3087" max="3087" width="16.7109375" style="238" customWidth="1"/>
    <col min="3088" max="3088" width="8.140625" style="238" customWidth="1"/>
    <col min="3089" max="3089" width="16.28515625" style="238" customWidth="1"/>
    <col min="3090" max="3090" width="7.85546875" style="238" customWidth="1"/>
    <col min="3091" max="3091" width="16.28515625" style="238" customWidth="1"/>
    <col min="3092" max="3092" width="8.28515625" style="238" customWidth="1"/>
    <col min="3093" max="3093" width="16.42578125" style="238" customWidth="1"/>
    <col min="3094" max="3094" width="7.28515625" style="238" customWidth="1"/>
    <col min="3095" max="3096" width="7.5703125" style="238" customWidth="1"/>
    <col min="3097" max="3097" width="20.5703125" style="238" customWidth="1"/>
    <col min="3098" max="3098" width="15.28515625" style="238" customWidth="1"/>
    <col min="3099" max="3100" width="7.5703125" style="238" customWidth="1"/>
    <col min="3101" max="3101" width="8" style="238" bestFit="1" customWidth="1"/>
    <col min="3102" max="3102" width="7" style="238" bestFit="1" customWidth="1"/>
    <col min="3103" max="3103" width="7.7109375" style="238" bestFit="1" customWidth="1"/>
    <col min="3104" max="3104" width="8" style="238" bestFit="1" customWidth="1"/>
    <col min="3105" max="3105" width="6.85546875" style="238" customWidth="1"/>
    <col min="3106" max="3106" width="7.85546875" style="238" customWidth="1"/>
    <col min="3107" max="3107" width="6.85546875" style="238" customWidth="1"/>
    <col min="3108" max="3110" width="7.85546875" style="238" customWidth="1"/>
    <col min="3111" max="3111" width="12.140625" style="238" customWidth="1"/>
    <col min="3112" max="3117" width="11.7109375" style="238" customWidth="1"/>
    <col min="3118" max="3330" width="11.42578125" style="238"/>
    <col min="3331" max="3331" width="33" style="238" customWidth="1"/>
    <col min="3332" max="3342" width="12.7109375" style="238" customWidth="1"/>
    <col min="3343" max="3343" width="16.7109375" style="238" customWidth="1"/>
    <col min="3344" max="3344" width="8.140625" style="238" customWidth="1"/>
    <col min="3345" max="3345" width="16.28515625" style="238" customWidth="1"/>
    <col min="3346" max="3346" width="7.85546875" style="238" customWidth="1"/>
    <col min="3347" max="3347" width="16.28515625" style="238" customWidth="1"/>
    <col min="3348" max="3348" width="8.28515625" style="238" customWidth="1"/>
    <col min="3349" max="3349" width="16.42578125" style="238" customWidth="1"/>
    <col min="3350" max="3350" width="7.28515625" style="238" customWidth="1"/>
    <col min="3351" max="3352" width="7.5703125" style="238" customWidth="1"/>
    <col min="3353" max="3353" width="20.5703125" style="238" customWidth="1"/>
    <col min="3354" max="3354" width="15.28515625" style="238" customWidth="1"/>
    <col min="3355" max="3356" width="7.5703125" style="238" customWidth="1"/>
    <col min="3357" max="3357" width="8" style="238" bestFit="1" customWidth="1"/>
    <col min="3358" max="3358" width="7" style="238" bestFit="1" customWidth="1"/>
    <col min="3359" max="3359" width="7.7109375" style="238" bestFit="1" customWidth="1"/>
    <col min="3360" max="3360" width="8" style="238" bestFit="1" customWidth="1"/>
    <col min="3361" max="3361" width="6.85546875" style="238" customWidth="1"/>
    <col min="3362" max="3362" width="7.85546875" style="238" customWidth="1"/>
    <col min="3363" max="3363" width="6.85546875" style="238" customWidth="1"/>
    <col min="3364" max="3366" width="7.85546875" style="238" customWidth="1"/>
    <col min="3367" max="3367" width="12.140625" style="238" customWidth="1"/>
    <col min="3368" max="3373" width="11.7109375" style="238" customWidth="1"/>
    <col min="3374" max="3586" width="11.42578125" style="238"/>
    <col min="3587" max="3587" width="33" style="238" customWidth="1"/>
    <col min="3588" max="3598" width="12.7109375" style="238" customWidth="1"/>
    <col min="3599" max="3599" width="16.7109375" style="238" customWidth="1"/>
    <col min="3600" max="3600" width="8.140625" style="238" customWidth="1"/>
    <col min="3601" max="3601" width="16.28515625" style="238" customWidth="1"/>
    <col min="3602" max="3602" width="7.85546875" style="238" customWidth="1"/>
    <col min="3603" max="3603" width="16.28515625" style="238" customWidth="1"/>
    <col min="3604" max="3604" width="8.28515625" style="238" customWidth="1"/>
    <col min="3605" max="3605" width="16.42578125" style="238" customWidth="1"/>
    <col min="3606" max="3606" width="7.28515625" style="238" customWidth="1"/>
    <col min="3607" max="3608" width="7.5703125" style="238" customWidth="1"/>
    <col min="3609" max="3609" width="20.5703125" style="238" customWidth="1"/>
    <col min="3610" max="3610" width="15.28515625" style="238" customWidth="1"/>
    <col min="3611" max="3612" width="7.5703125" style="238" customWidth="1"/>
    <col min="3613" max="3613" width="8" style="238" bestFit="1" customWidth="1"/>
    <col min="3614" max="3614" width="7" style="238" bestFit="1" customWidth="1"/>
    <col min="3615" max="3615" width="7.7109375" style="238" bestFit="1" customWidth="1"/>
    <col min="3616" max="3616" width="8" style="238" bestFit="1" customWidth="1"/>
    <col min="3617" max="3617" width="6.85546875" style="238" customWidth="1"/>
    <col min="3618" max="3618" width="7.85546875" style="238" customWidth="1"/>
    <col min="3619" max="3619" width="6.85546875" style="238" customWidth="1"/>
    <col min="3620" max="3622" width="7.85546875" style="238" customWidth="1"/>
    <col min="3623" max="3623" width="12.140625" style="238" customWidth="1"/>
    <col min="3624" max="3629" width="11.7109375" style="238" customWidth="1"/>
    <col min="3630" max="3842" width="11.42578125" style="238"/>
    <col min="3843" max="3843" width="33" style="238" customWidth="1"/>
    <col min="3844" max="3854" width="12.7109375" style="238" customWidth="1"/>
    <col min="3855" max="3855" width="16.7109375" style="238" customWidth="1"/>
    <col min="3856" max="3856" width="8.140625" style="238" customWidth="1"/>
    <col min="3857" max="3857" width="16.28515625" style="238" customWidth="1"/>
    <col min="3858" max="3858" width="7.85546875" style="238" customWidth="1"/>
    <col min="3859" max="3859" width="16.28515625" style="238" customWidth="1"/>
    <col min="3860" max="3860" width="8.28515625" style="238" customWidth="1"/>
    <col min="3861" max="3861" width="16.42578125" style="238" customWidth="1"/>
    <col min="3862" max="3862" width="7.28515625" style="238" customWidth="1"/>
    <col min="3863" max="3864" width="7.5703125" style="238" customWidth="1"/>
    <col min="3865" max="3865" width="20.5703125" style="238" customWidth="1"/>
    <col min="3866" max="3866" width="15.28515625" style="238" customWidth="1"/>
    <col min="3867" max="3868" width="7.5703125" style="238" customWidth="1"/>
    <col min="3869" max="3869" width="8" style="238" bestFit="1" customWidth="1"/>
    <col min="3870" max="3870" width="7" style="238" bestFit="1" customWidth="1"/>
    <col min="3871" max="3871" width="7.7109375" style="238" bestFit="1" customWidth="1"/>
    <col min="3872" max="3872" width="8" style="238" bestFit="1" customWidth="1"/>
    <col min="3873" max="3873" width="6.85546875" style="238" customWidth="1"/>
    <col min="3874" max="3874" width="7.85546875" style="238" customWidth="1"/>
    <col min="3875" max="3875" width="6.85546875" style="238" customWidth="1"/>
    <col min="3876" max="3878" width="7.85546875" style="238" customWidth="1"/>
    <col min="3879" max="3879" width="12.140625" style="238" customWidth="1"/>
    <col min="3880" max="3885" width="11.7109375" style="238" customWidth="1"/>
    <col min="3886" max="4098" width="11.42578125" style="238"/>
    <col min="4099" max="4099" width="33" style="238" customWidth="1"/>
    <col min="4100" max="4110" width="12.7109375" style="238" customWidth="1"/>
    <col min="4111" max="4111" width="16.7109375" style="238" customWidth="1"/>
    <col min="4112" max="4112" width="8.140625" style="238" customWidth="1"/>
    <col min="4113" max="4113" width="16.28515625" style="238" customWidth="1"/>
    <col min="4114" max="4114" width="7.85546875" style="238" customWidth="1"/>
    <col min="4115" max="4115" width="16.28515625" style="238" customWidth="1"/>
    <col min="4116" max="4116" width="8.28515625" style="238" customWidth="1"/>
    <col min="4117" max="4117" width="16.42578125" style="238" customWidth="1"/>
    <col min="4118" max="4118" width="7.28515625" style="238" customWidth="1"/>
    <col min="4119" max="4120" width="7.5703125" style="238" customWidth="1"/>
    <col min="4121" max="4121" width="20.5703125" style="238" customWidth="1"/>
    <col min="4122" max="4122" width="15.28515625" style="238" customWidth="1"/>
    <col min="4123" max="4124" width="7.5703125" style="238" customWidth="1"/>
    <col min="4125" max="4125" width="8" style="238" bestFit="1" customWidth="1"/>
    <col min="4126" max="4126" width="7" style="238" bestFit="1" customWidth="1"/>
    <col min="4127" max="4127" width="7.7109375" style="238" bestFit="1" customWidth="1"/>
    <col min="4128" max="4128" width="8" style="238" bestFit="1" customWidth="1"/>
    <col min="4129" max="4129" width="6.85546875" style="238" customWidth="1"/>
    <col min="4130" max="4130" width="7.85546875" style="238" customWidth="1"/>
    <col min="4131" max="4131" width="6.85546875" style="238" customWidth="1"/>
    <col min="4132" max="4134" width="7.85546875" style="238" customWidth="1"/>
    <col min="4135" max="4135" width="12.140625" style="238" customWidth="1"/>
    <col min="4136" max="4141" width="11.7109375" style="238" customWidth="1"/>
    <col min="4142" max="4354" width="11.42578125" style="238"/>
    <col min="4355" max="4355" width="33" style="238" customWidth="1"/>
    <col min="4356" max="4366" width="12.7109375" style="238" customWidth="1"/>
    <col min="4367" max="4367" width="16.7109375" style="238" customWidth="1"/>
    <col min="4368" max="4368" width="8.140625" style="238" customWidth="1"/>
    <col min="4369" max="4369" width="16.28515625" style="238" customWidth="1"/>
    <col min="4370" max="4370" width="7.85546875" style="238" customWidth="1"/>
    <col min="4371" max="4371" width="16.28515625" style="238" customWidth="1"/>
    <col min="4372" max="4372" width="8.28515625" style="238" customWidth="1"/>
    <col min="4373" max="4373" width="16.42578125" style="238" customWidth="1"/>
    <col min="4374" max="4374" width="7.28515625" style="238" customWidth="1"/>
    <col min="4375" max="4376" width="7.5703125" style="238" customWidth="1"/>
    <col min="4377" max="4377" width="20.5703125" style="238" customWidth="1"/>
    <col min="4378" max="4378" width="15.28515625" style="238" customWidth="1"/>
    <col min="4379" max="4380" width="7.5703125" style="238" customWidth="1"/>
    <col min="4381" max="4381" width="8" style="238" bestFit="1" customWidth="1"/>
    <col min="4382" max="4382" width="7" style="238" bestFit="1" customWidth="1"/>
    <col min="4383" max="4383" width="7.7109375" style="238" bestFit="1" customWidth="1"/>
    <col min="4384" max="4384" width="8" style="238" bestFit="1" customWidth="1"/>
    <col min="4385" max="4385" width="6.85546875" style="238" customWidth="1"/>
    <col min="4386" max="4386" width="7.85546875" style="238" customWidth="1"/>
    <col min="4387" max="4387" width="6.85546875" style="238" customWidth="1"/>
    <col min="4388" max="4390" width="7.85546875" style="238" customWidth="1"/>
    <col min="4391" max="4391" width="12.140625" style="238" customWidth="1"/>
    <col min="4392" max="4397" width="11.7109375" style="238" customWidth="1"/>
    <col min="4398" max="4610" width="11.42578125" style="238"/>
    <col min="4611" max="4611" width="33" style="238" customWidth="1"/>
    <col min="4612" max="4622" width="12.7109375" style="238" customWidth="1"/>
    <col min="4623" max="4623" width="16.7109375" style="238" customWidth="1"/>
    <col min="4624" max="4624" width="8.140625" style="238" customWidth="1"/>
    <col min="4625" max="4625" width="16.28515625" style="238" customWidth="1"/>
    <col min="4626" max="4626" width="7.85546875" style="238" customWidth="1"/>
    <col min="4627" max="4627" width="16.28515625" style="238" customWidth="1"/>
    <col min="4628" max="4628" width="8.28515625" style="238" customWidth="1"/>
    <col min="4629" max="4629" width="16.42578125" style="238" customWidth="1"/>
    <col min="4630" max="4630" width="7.28515625" style="238" customWidth="1"/>
    <col min="4631" max="4632" width="7.5703125" style="238" customWidth="1"/>
    <col min="4633" max="4633" width="20.5703125" style="238" customWidth="1"/>
    <col min="4634" max="4634" width="15.28515625" style="238" customWidth="1"/>
    <col min="4635" max="4636" width="7.5703125" style="238" customWidth="1"/>
    <col min="4637" max="4637" width="8" style="238" bestFit="1" customWidth="1"/>
    <col min="4638" max="4638" width="7" style="238" bestFit="1" customWidth="1"/>
    <col min="4639" max="4639" width="7.7109375" style="238" bestFit="1" customWidth="1"/>
    <col min="4640" max="4640" width="8" style="238" bestFit="1" customWidth="1"/>
    <col min="4641" max="4641" width="6.85546875" style="238" customWidth="1"/>
    <col min="4642" max="4642" width="7.85546875" style="238" customWidth="1"/>
    <col min="4643" max="4643" width="6.85546875" style="238" customWidth="1"/>
    <col min="4644" max="4646" width="7.85546875" style="238" customWidth="1"/>
    <col min="4647" max="4647" width="12.140625" style="238" customWidth="1"/>
    <col min="4648" max="4653" width="11.7109375" style="238" customWidth="1"/>
    <col min="4654" max="4866" width="11.42578125" style="238"/>
    <col min="4867" max="4867" width="33" style="238" customWidth="1"/>
    <col min="4868" max="4878" width="12.7109375" style="238" customWidth="1"/>
    <col min="4879" max="4879" width="16.7109375" style="238" customWidth="1"/>
    <col min="4880" max="4880" width="8.140625" style="238" customWidth="1"/>
    <col min="4881" max="4881" width="16.28515625" style="238" customWidth="1"/>
    <col min="4882" max="4882" width="7.85546875" style="238" customWidth="1"/>
    <col min="4883" max="4883" width="16.28515625" style="238" customWidth="1"/>
    <col min="4884" max="4884" width="8.28515625" style="238" customWidth="1"/>
    <col min="4885" max="4885" width="16.42578125" style="238" customWidth="1"/>
    <col min="4886" max="4886" width="7.28515625" style="238" customWidth="1"/>
    <col min="4887" max="4888" width="7.5703125" style="238" customWidth="1"/>
    <col min="4889" max="4889" width="20.5703125" style="238" customWidth="1"/>
    <col min="4890" max="4890" width="15.28515625" style="238" customWidth="1"/>
    <col min="4891" max="4892" width="7.5703125" style="238" customWidth="1"/>
    <col min="4893" max="4893" width="8" style="238" bestFit="1" customWidth="1"/>
    <col min="4894" max="4894" width="7" style="238" bestFit="1" customWidth="1"/>
    <col min="4895" max="4895" width="7.7109375" style="238" bestFit="1" customWidth="1"/>
    <col min="4896" max="4896" width="8" style="238" bestFit="1" customWidth="1"/>
    <col min="4897" max="4897" width="6.85546875" style="238" customWidth="1"/>
    <col min="4898" max="4898" width="7.85546875" style="238" customWidth="1"/>
    <col min="4899" max="4899" width="6.85546875" style="238" customWidth="1"/>
    <col min="4900" max="4902" width="7.85546875" style="238" customWidth="1"/>
    <col min="4903" max="4903" width="12.140625" style="238" customWidth="1"/>
    <col min="4904" max="4909" width="11.7109375" style="238" customWidth="1"/>
    <col min="4910" max="5122" width="11.42578125" style="238"/>
    <col min="5123" max="5123" width="33" style="238" customWidth="1"/>
    <col min="5124" max="5134" width="12.7109375" style="238" customWidth="1"/>
    <col min="5135" max="5135" width="16.7109375" style="238" customWidth="1"/>
    <col min="5136" max="5136" width="8.140625" style="238" customWidth="1"/>
    <col min="5137" max="5137" width="16.28515625" style="238" customWidth="1"/>
    <col min="5138" max="5138" width="7.85546875" style="238" customWidth="1"/>
    <col min="5139" max="5139" width="16.28515625" style="238" customWidth="1"/>
    <col min="5140" max="5140" width="8.28515625" style="238" customWidth="1"/>
    <col min="5141" max="5141" width="16.42578125" style="238" customWidth="1"/>
    <col min="5142" max="5142" width="7.28515625" style="238" customWidth="1"/>
    <col min="5143" max="5144" width="7.5703125" style="238" customWidth="1"/>
    <col min="5145" max="5145" width="20.5703125" style="238" customWidth="1"/>
    <col min="5146" max="5146" width="15.28515625" style="238" customWidth="1"/>
    <col min="5147" max="5148" width="7.5703125" style="238" customWidth="1"/>
    <col min="5149" max="5149" width="8" style="238" bestFit="1" customWidth="1"/>
    <col min="5150" max="5150" width="7" style="238" bestFit="1" customWidth="1"/>
    <col min="5151" max="5151" width="7.7109375" style="238" bestFit="1" customWidth="1"/>
    <col min="5152" max="5152" width="8" style="238" bestFit="1" customWidth="1"/>
    <col min="5153" max="5153" width="6.85546875" style="238" customWidth="1"/>
    <col min="5154" max="5154" width="7.85546875" style="238" customWidth="1"/>
    <col min="5155" max="5155" width="6.85546875" style="238" customWidth="1"/>
    <col min="5156" max="5158" width="7.85546875" style="238" customWidth="1"/>
    <col min="5159" max="5159" width="12.140625" style="238" customWidth="1"/>
    <col min="5160" max="5165" width="11.7109375" style="238" customWidth="1"/>
    <col min="5166" max="5378" width="11.42578125" style="238"/>
    <col min="5379" max="5379" width="33" style="238" customWidth="1"/>
    <col min="5380" max="5390" width="12.7109375" style="238" customWidth="1"/>
    <col min="5391" max="5391" width="16.7109375" style="238" customWidth="1"/>
    <col min="5392" max="5392" width="8.140625" style="238" customWidth="1"/>
    <col min="5393" max="5393" width="16.28515625" style="238" customWidth="1"/>
    <col min="5394" max="5394" width="7.85546875" style="238" customWidth="1"/>
    <col min="5395" max="5395" width="16.28515625" style="238" customWidth="1"/>
    <col min="5396" max="5396" width="8.28515625" style="238" customWidth="1"/>
    <col min="5397" max="5397" width="16.42578125" style="238" customWidth="1"/>
    <col min="5398" max="5398" width="7.28515625" style="238" customWidth="1"/>
    <col min="5399" max="5400" width="7.5703125" style="238" customWidth="1"/>
    <col min="5401" max="5401" width="20.5703125" style="238" customWidth="1"/>
    <col min="5402" max="5402" width="15.28515625" style="238" customWidth="1"/>
    <col min="5403" max="5404" width="7.5703125" style="238" customWidth="1"/>
    <col min="5405" max="5405" width="8" style="238" bestFit="1" customWidth="1"/>
    <col min="5406" max="5406" width="7" style="238" bestFit="1" customWidth="1"/>
    <col min="5407" max="5407" width="7.7109375" style="238" bestFit="1" customWidth="1"/>
    <col min="5408" max="5408" width="8" style="238" bestFit="1" customWidth="1"/>
    <col min="5409" max="5409" width="6.85546875" style="238" customWidth="1"/>
    <col min="5410" max="5410" width="7.85546875" style="238" customWidth="1"/>
    <col min="5411" max="5411" width="6.85546875" style="238" customWidth="1"/>
    <col min="5412" max="5414" width="7.85546875" style="238" customWidth="1"/>
    <col min="5415" max="5415" width="12.140625" style="238" customWidth="1"/>
    <col min="5416" max="5421" width="11.7109375" style="238" customWidth="1"/>
    <col min="5422" max="5634" width="11.42578125" style="238"/>
    <col min="5635" max="5635" width="33" style="238" customWidth="1"/>
    <col min="5636" max="5646" width="12.7109375" style="238" customWidth="1"/>
    <col min="5647" max="5647" width="16.7109375" style="238" customWidth="1"/>
    <col min="5648" max="5648" width="8.140625" style="238" customWidth="1"/>
    <col min="5649" max="5649" width="16.28515625" style="238" customWidth="1"/>
    <col min="5650" max="5650" width="7.85546875" style="238" customWidth="1"/>
    <col min="5651" max="5651" width="16.28515625" style="238" customWidth="1"/>
    <col min="5652" max="5652" width="8.28515625" style="238" customWidth="1"/>
    <col min="5653" max="5653" width="16.42578125" style="238" customWidth="1"/>
    <col min="5654" max="5654" width="7.28515625" style="238" customWidth="1"/>
    <col min="5655" max="5656" width="7.5703125" style="238" customWidth="1"/>
    <col min="5657" max="5657" width="20.5703125" style="238" customWidth="1"/>
    <col min="5658" max="5658" width="15.28515625" style="238" customWidth="1"/>
    <col min="5659" max="5660" width="7.5703125" style="238" customWidth="1"/>
    <col min="5661" max="5661" width="8" style="238" bestFit="1" customWidth="1"/>
    <col min="5662" max="5662" width="7" style="238" bestFit="1" customWidth="1"/>
    <col min="5663" max="5663" width="7.7109375" style="238" bestFit="1" customWidth="1"/>
    <col min="5664" max="5664" width="8" style="238" bestFit="1" customWidth="1"/>
    <col min="5665" max="5665" width="6.85546875" style="238" customWidth="1"/>
    <col min="5666" max="5666" width="7.85546875" style="238" customWidth="1"/>
    <col min="5667" max="5667" width="6.85546875" style="238" customWidth="1"/>
    <col min="5668" max="5670" width="7.85546875" style="238" customWidth="1"/>
    <col min="5671" max="5671" width="12.140625" style="238" customWidth="1"/>
    <col min="5672" max="5677" width="11.7109375" style="238" customWidth="1"/>
    <col min="5678" max="5890" width="11.42578125" style="238"/>
    <col min="5891" max="5891" width="33" style="238" customWidth="1"/>
    <col min="5892" max="5902" width="12.7109375" style="238" customWidth="1"/>
    <col min="5903" max="5903" width="16.7109375" style="238" customWidth="1"/>
    <col min="5904" max="5904" width="8.140625" style="238" customWidth="1"/>
    <col min="5905" max="5905" width="16.28515625" style="238" customWidth="1"/>
    <col min="5906" max="5906" width="7.85546875" style="238" customWidth="1"/>
    <col min="5907" max="5907" width="16.28515625" style="238" customWidth="1"/>
    <col min="5908" max="5908" width="8.28515625" style="238" customWidth="1"/>
    <col min="5909" max="5909" width="16.42578125" style="238" customWidth="1"/>
    <col min="5910" max="5910" width="7.28515625" style="238" customWidth="1"/>
    <col min="5911" max="5912" width="7.5703125" style="238" customWidth="1"/>
    <col min="5913" max="5913" width="20.5703125" style="238" customWidth="1"/>
    <col min="5914" max="5914" width="15.28515625" style="238" customWidth="1"/>
    <col min="5915" max="5916" width="7.5703125" style="238" customWidth="1"/>
    <col min="5917" max="5917" width="8" style="238" bestFit="1" customWidth="1"/>
    <col min="5918" max="5918" width="7" style="238" bestFit="1" customWidth="1"/>
    <col min="5919" max="5919" width="7.7109375" style="238" bestFit="1" customWidth="1"/>
    <col min="5920" max="5920" width="8" style="238" bestFit="1" customWidth="1"/>
    <col min="5921" max="5921" width="6.85546875" style="238" customWidth="1"/>
    <col min="5922" max="5922" width="7.85546875" style="238" customWidth="1"/>
    <col min="5923" max="5923" width="6.85546875" style="238" customWidth="1"/>
    <col min="5924" max="5926" width="7.85546875" style="238" customWidth="1"/>
    <col min="5927" max="5927" width="12.140625" style="238" customWidth="1"/>
    <col min="5928" max="5933" width="11.7109375" style="238" customWidth="1"/>
    <col min="5934" max="6146" width="11.42578125" style="238"/>
    <col min="6147" max="6147" width="33" style="238" customWidth="1"/>
    <col min="6148" max="6158" width="12.7109375" style="238" customWidth="1"/>
    <col min="6159" max="6159" width="16.7109375" style="238" customWidth="1"/>
    <col min="6160" max="6160" width="8.140625" style="238" customWidth="1"/>
    <col min="6161" max="6161" width="16.28515625" style="238" customWidth="1"/>
    <col min="6162" max="6162" width="7.85546875" style="238" customWidth="1"/>
    <col min="6163" max="6163" width="16.28515625" style="238" customWidth="1"/>
    <col min="6164" max="6164" width="8.28515625" style="238" customWidth="1"/>
    <col min="6165" max="6165" width="16.42578125" style="238" customWidth="1"/>
    <col min="6166" max="6166" width="7.28515625" style="238" customWidth="1"/>
    <col min="6167" max="6168" width="7.5703125" style="238" customWidth="1"/>
    <col min="6169" max="6169" width="20.5703125" style="238" customWidth="1"/>
    <col min="6170" max="6170" width="15.28515625" style="238" customWidth="1"/>
    <col min="6171" max="6172" width="7.5703125" style="238" customWidth="1"/>
    <col min="6173" max="6173" width="8" style="238" bestFit="1" customWidth="1"/>
    <col min="6174" max="6174" width="7" style="238" bestFit="1" customWidth="1"/>
    <col min="6175" max="6175" width="7.7109375" style="238" bestFit="1" customWidth="1"/>
    <col min="6176" max="6176" width="8" style="238" bestFit="1" customWidth="1"/>
    <col min="6177" max="6177" width="6.85546875" style="238" customWidth="1"/>
    <col min="6178" max="6178" width="7.85546875" style="238" customWidth="1"/>
    <col min="6179" max="6179" width="6.85546875" style="238" customWidth="1"/>
    <col min="6180" max="6182" width="7.85546875" style="238" customWidth="1"/>
    <col min="6183" max="6183" width="12.140625" style="238" customWidth="1"/>
    <col min="6184" max="6189" width="11.7109375" style="238" customWidth="1"/>
    <col min="6190" max="6402" width="11.42578125" style="238"/>
    <col min="6403" max="6403" width="33" style="238" customWidth="1"/>
    <col min="6404" max="6414" width="12.7109375" style="238" customWidth="1"/>
    <col min="6415" max="6415" width="16.7109375" style="238" customWidth="1"/>
    <col min="6416" max="6416" width="8.140625" style="238" customWidth="1"/>
    <col min="6417" max="6417" width="16.28515625" style="238" customWidth="1"/>
    <col min="6418" max="6418" width="7.85546875" style="238" customWidth="1"/>
    <col min="6419" max="6419" width="16.28515625" style="238" customWidth="1"/>
    <col min="6420" max="6420" width="8.28515625" style="238" customWidth="1"/>
    <col min="6421" max="6421" width="16.42578125" style="238" customWidth="1"/>
    <col min="6422" max="6422" width="7.28515625" style="238" customWidth="1"/>
    <col min="6423" max="6424" width="7.5703125" style="238" customWidth="1"/>
    <col min="6425" max="6425" width="20.5703125" style="238" customWidth="1"/>
    <col min="6426" max="6426" width="15.28515625" style="238" customWidth="1"/>
    <col min="6427" max="6428" width="7.5703125" style="238" customWidth="1"/>
    <col min="6429" max="6429" width="8" style="238" bestFit="1" customWidth="1"/>
    <col min="6430" max="6430" width="7" style="238" bestFit="1" customWidth="1"/>
    <col min="6431" max="6431" width="7.7109375" style="238" bestFit="1" customWidth="1"/>
    <col min="6432" max="6432" width="8" style="238" bestFit="1" customWidth="1"/>
    <col min="6433" max="6433" width="6.85546875" style="238" customWidth="1"/>
    <col min="6434" max="6434" width="7.85546875" style="238" customWidth="1"/>
    <col min="6435" max="6435" width="6.85546875" style="238" customWidth="1"/>
    <col min="6436" max="6438" width="7.85546875" style="238" customWidth="1"/>
    <col min="6439" max="6439" width="12.140625" style="238" customWidth="1"/>
    <col min="6440" max="6445" width="11.7109375" style="238" customWidth="1"/>
    <col min="6446" max="6658" width="11.42578125" style="238"/>
    <col min="6659" max="6659" width="33" style="238" customWidth="1"/>
    <col min="6660" max="6670" width="12.7109375" style="238" customWidth="1"/>
    <col min="6671" max="6671" width="16.7109375" style="238" customWidth="1"/>
    <col min="6672" max="6672" width="8.140625" style="238" customWidth="1"/>
    <col min="6673" max="6673" width="16.28515625" style="238" customWidth="1"/>
    <col min="6674" max="6674" width="7.85546875" style="238" customWidth="1"/>
    <col min="6675" max="6675" width="16.28515625" style="238" customWidth="1"/>
    <col min="6676" max="6676" width="8.28515625" style="238" customWidth="1"/>
    <col min="6677" max="6677" width="16.42578125" style="238" customWidth="1"/>
    <col min="6678" max="6678" width="7.28515625" style="238" customWidth="1"/>
    <col min="6679" max="6680" width="7.5703125" style="238" customWidth="1"/>
    <col min="6681" max="6681" width="20.5703125" style="238" customWidth="1"/>
    <col min="6682" max="6682" width="15.28515625" style="238" customWidth="1"/>
    <col min="6683" max="6684" width="7.5703125" style="238" customWidth="1"/>
    <col min="6685" max="6685" width="8" style="238" bestFit="1" customWidth="1"/>
    <col min="6686" max="6686" width="7" style="238" bestFit="1" customWidth="1"/>
    <col min="6687" max="6687" width="7.7109375" style="238" bestFit="1" customWidth="1"/>
    <col min="6688" max="6688" width="8" style="238" bestFit="1" customWidth="1"/>
    <col min="6689" max="6689" width="6.85546875" style="238" customWidth="1"/>
    <col min="6690" max="6690" width="7.85546875" style="238" customWidth="1"/>
    <col min="6691" max="6691" width="6.85546875" style="238" customWidth="1"/>
    <col min="6692" max="6694" width="7.85546875" style="238" customWidth="1"/>
    <col min="6695" max="6695" width="12.140625" style="238" customWidth="1"/>
    <col min="6696" max="6701" width="11.7109375" style="238" customWidth="1"/>
    <col min="6702" max="6914" width="11.42578125" style="238"/>
    <col min="6915" max="6915" width="33" style="238" customWidth="1"/>
    <col min="6916" max="6926" width="12.7109375" style="238" customWidth="1"/>
    <col min="6927" max="6927" width="16.7109375" style="238" customWidth="1"/>
    <col min="6928" max="6928" width="8.140625" style="238" customWidth="1"/>
    <col min="6929" max="6929" width="16.28515625" style="238" customWidth="1"/>
    <col min="6930" max="6930" width="7.85546875" style="238" customWidth="1"/>
    <col min="6931" max="6931" width="16.28515625" style="238" customWidth="1"/>
    <col min="6932" max="6932" width="8.28515625" style="238" customWidth="1"/>
    <col min="6933" max="6933" width="16.42578125" style="238" customWidth="1"/>
    <col min="6934" max="6934" width="7.28515625" style="238" customWidth="1"/>
    <col min="6935" max="6936" width="7.5703125" style="238" customWidth="1"/>
    <col min="6937" max="6937" width="20.5703125" style="238" customWidth="1"/>
    <col min="6938" max="6938" width="15.28515625" style="238" customWidth="1"/>
    <col min="6939" max="6940" width="7.5703125" style="238" customWidth="1"/>
    <col min="6941" max="6941" width="8" style="238" bestFit="1" customWidth="1"/>
    <col min="6942" max="6942" width="7" style="238" bestFit="1" customWidth="1"/>
    <col min="6943" max="6943" width="7.7109375" style="238" bestFit="1" customWidth="1"/>
    <col min="6944" max="6944" width="8" style="238" bestFit="1" customWidth="1"/>
    <col min="6945" max="6945" width="6.85546875" style="238" customWidth="1"/>
    <col min="6946" max="6946" width="7.85546875" style="238" customWidth="1"/>
    <col min="6947" max="6947" width="6.85546875" style="238" customWidth="1"/>
    <col min="6948" max="6950" width="7.85546875" style="238" customWidth="1"/>
    <col min="6951" max="6951" width="12.140625" style="238" customWidth="1"/>
    <col min="6952" max="6957" width="11.7109375" style="238" customWidth="1"/>
    <col min="6958" max="7170" width="11.42578125" style="238"/>
    <col min="7171" max="7171" width="33" style="238" customWidth="1"/>
    <col min="7172" max="7182" width="12.7109375" style="238" customWidth="1"/>
    <col min="7183" max="7183" width="16.7109375" style="238" customWidth="1"/>
    <col min="7184" max="7184" width="8.140625" style="238" customWidth="1"/>
    <col min="7185" max="7185" width="16.28515625" style="238" customWidth="1"/>
    <col min="7186" max="7186" width="7.85546875" style="238" customWidth="1"/>
    <col min="7187" max="7187" width="16.28515625" style="238" customWidth="1"/>
    <col min="7188" max="7188" width="8.28515625" style="238" customWidth="1"/>
    <col min="7189" max="7189" width="16.42578125" style="238" customWidth="1"/>
    <col min="7190" max="7190" width="7.28515625" style="238" customWidth="1"/>
    <col min="7191" max="7192" width="7.5703125" style="238" customWidth="1"/>
    <col min="7193" max="7193" width="20.5703125" style="238" customWidth="1"/>
    <col min="7194" max="7194" width="15.28515625" style="238" customWidth="1"/>
    <col min="7195" max="7196" width="7.5703125" style="238" customWidth="1"/>
    <col min="7197" max="7197" width="8" style="238" bestFit="1" customWidth="1"/>
    <col min="7198" max="7198" width="7" style="238" bestFit="1" customWidth="1"/>
    <col min="7199" max="7199" width="7.7109375" style="238" bestFit="1" customWidth="1"/>
    <col min="7200" max="7200" width="8" style="238" bestFit="1" customWidth="1"/>
    <col min="7201" max="7201" width="6.85546875" style="238" customWidth="1"/>
    <col min="7202" max="7202" width="7.85546875" style="238" customWidth="1"/>
    <col min="7203" max="7203" width="6.85546875" style="238" customWidth="1"/>
    <col min="7204" max="7206" width="7.85546875" style="238" customWidth="1"/>
    <col min="7207" max="7207" width="12.140625" style="238" customWidth="1"/>
    <col min="7208" max="7213" width="11.7109375" style="238" customWidth="1"/>
    <col min="7214" max="7426" width="11.42578125" style="238"/>
    <col min="7427" max="7427" width="33" style="238" customWidth="1"/>
    <col min="7428" max="7438" width="12.7109375" style="238" customWidth="1"/>
    <col min="7439" max="7439" width="16.7109375" style="238" customWidth="1"/>
    <col min="7440" max="7440" width="8.140625" style="238" customWidth="1"/>
    <col min="7441" max="7441" width="16.28515625" style="238" customWidth="1"/>
    <col min="7442" max="7442" width="7.85546875" style="238" customWidth="1"/>
    <col min="7443" max="7443" width="16.28515625" style="238" customWidth="1"/>
    <col min="7444" max="7444" width="8.28515625" style="238" customWidth="1"/>
    <col min="7445" max="7445" width="16.42578125" style="238" customWidth="1"/>
    <col min="7446" max="7446" width="7.28515625" style="238" customWidth="1"/>
    <col min="7447" max="7448" width="7.5703125" style="238" customWidth="1"/>
    <col min="7449" max="7449" width="20.5703125" style="238" customWidth="1"/>
    <col min="7450" max="7450" width="15.28515625" style="238" customWidth="1"/>
    <col min="7451" max="7452" width="7.5703125" style="238" customWidth="1"/>
    <col min="7453" max="7453" width="8" style="238" bestFit="1" customWidth="1"/>
    <col min="7454" max="7454" width="7" style="238" bestFit="1" customWidth="1"/>
    <col min="7455" max="7455" width="7.7109375" style="238" bestFit="1" customWidth="1"/>
    <col min="7456" max="7456" width="8" style="238" bestFit="1" customWidth="1"/>
    <col min="7457" max="7457" width="6.85546875" style="238" customWidth="1"/>
    <col min="7458" max="7458" width="7.85546875" style="238" customWidth="1"/>
    <col min="7459" max="7459" width="6.85546875" style="238" customWidth="1"/>
    <col min="7460" max="7462" width="7.85546875" style="238" customWidth="1"/>
    <col min="7463" max="7463" width="12.140625" style="238" customWidth="1"/>
    <col min="7464" max="7469" width="11.7109375" style="238" customWidth="1"/>
    <col min="7470" max="7682" width="11.42578125" style="238"/>
    <col min="7683" max="7683" width="33" style="238" customWidth="1"/>
    <col min="7684" max="7694" width="12.7109375" style="238" customWidth="1"/>
    <col min="7695" max="7695" width="16.7109375" style="238" customWidth="1"/>
    <col min="7696" max="7696" width="8.140625" style="238" customWidth="1"/>
    <col min="7697" max="7697" width="16.28515625" style="238" customWidth="1"/>
    <col min="7698" max="7698" width="7.85546875" style="238" customWidth="1"/>
    <col min="7699" max="7699" width="16.28515625" style="238" customWidth="1"/>
    <col min="7700" max="7700" width="8.28515625" style="238" customWidth="1"/>
    <col min="7701" max="7701" width="16.42578125" style="238" customWidth="1"/>
    <col min="7702" max="7702" width="7.28515625" style="238" customWidth="1"/>
    <col min="7703" max="7704" width="7.5703125" style="238" customWidth="1"/>
    <col min="7705" max="7705" width="20.5703125" style="238" customWidth="1"/>
    <col min="7706" max="7706" width="15.28515625" style="238" customWidth="1"/>
    <col min="7707" max="7708" width="7.5703125" style="238" customWidth="1"/>
    <col min="7709" max="7709" width="8" style="238" bestFit="1" customWidth="1"/>
    <col min="7710" max="7710" width="7" style="238" bestFit="1" customWidth="1"/>
    <col min="7711" max="7711" width="7.7109375" style="238" bestFit="1" customWidth="1"/>
    <col min="7712" max="7712" width="8" style="238" bestFit="1" customWidth="1"/>
    <col min="7713" max="7713" width="6.85546875" style="238" customWidth="1"/>
    <col min="7714" max="7714" width="7.85546875" style="238" customWidth="1"/>
    <col min="7715" max="7715" width="6.85546875" style="238" customWidth="1"/>
    <col min="7716" max="7718" width="7.85546875" style="238" customWidth="1"/>
    <col min="7719" max="7719" width="12.140625" style="238" customWidth="1"/>
    <col min="7720" max="7725" width="11.7109375" style="238" customWidth="1"/>
    <col min="7726" max="7938" width="11.42578125" style="238"/>
    <col min="7939" max="7939" width="33" style="238" customWidth="1"/>
    <col min="7940" max="7950" width="12.7109375" style="238" customWidth="1"/>
    <col min="7951" max="7951" width="16.7109375" style="238" customWidth="1"/>
    <col min="7952" max="7952" width="8.140625" style="238" customWidth="1"/>
    <col min="7953" max="7953" width="16.28515625" style="238" customWidth="1"/>
    <col min="7954" max="7954" width="7.85546875" style="238" customWidth="1"/>
    <col min="7955" max="7955" width="16.28515625" style="238" customWidth="1"/>
    <col min="7956" max="7956" width="8.28515625" style="238" customWidth="1"/>
    <col min="7957" max="7957" width="16.42578125" style="238" customWidth="1"/>
    <col min="7958" max="7958" width="7.28515625" style="238" customWidth="1"/>
    <col min="7959" max="7960" width="7.5703125" style="238" customWidth="1"/>
    <col min="7961" max="7961" width="20.5703125" style="238" customWidth="1"/>
    <col min="7962" max="7962" width="15.28515625" style="238" customWidth="1"/>
    <col min="7963" max="7964" width="7.5703125" style="238" customWidth="1"/>
    <col min="7965" max="7965" width="8" style="238" bestFit="1" customWidth="1"/>
    <col min="7966" max="7966" width="7" style="238" bestFit="1" customWidth="1"/>
    <col min="7967" max="7967" width="7.7109375" style="238" bestFit="1" customWidth="1"/>
    <col min="7968" max="7968" width="8" style="238" bestFit="1" customWidth="1"/>
    <col min="7969" max="7969" width="6.85546875" style="238" customWidth="1"/>
    <col min="7970" max="7970" width="7.85546875" style="238" customWidth="1"/>
    <col min="7971" max="7971" width="6.85546875" style="238" customWidth="1"/>
    <col min="7972" max="7974" width="7.85546875" style="238" customWidth="1"/>
    <col min="7975" max="7975" width="12.140625" style="238" customWidth="1"/>
    <col min="7976" max="7981" width="11.7109375" style="238" customWidth="1"/>
    <col min="7982" max="8194" width="11.42578125" style="238"/>
    <col min="8195" max="8195" width="33" style="238" customWidth="1"/>
    <col min="8196" max="8206" width="12.7109375" style="238" customWidth="1"/>
    <col min="8207" max="8207" width="16.7109375" style="238" customWidth="1"/>
    <col min="8208" max="8208" width="8.140625" style="238" customWidth="1"/>
    <col min="8209" max="8209" width="16.28515625" style="238" customWidth="1"/>
    <col min="8210" max="8210" width="7.85546875" style="238" customWidth="1"/>
    <col min="8211" max="8211" width="16.28515625" style="238" customWidth="1"/>
    <col min="8212" max="8212" width="8.28515625" style="238" customWidth="1"/>
    <col min="8213" max="8213" width="16.42578125" style="238" customWidth="1"/>
    <col min="8214" max="8214" width="7.28515625" style="238" customWidth="1"/>
    <col min="8215" max="8216" width="7.5703125" style="238" customWidth="1"/>
    <col min="8217" max="8217" width="20.5703125" style="238" customWidth="1"/>
    <col min="8218" max="8218" width="15.28515625" style="238" customWidth="1"/>
    <col min="8219" max="8220" width="7.5703125" style="238" customWidth="1"/>
    <col min="8221" max="8221" width="8" style="238" bestFit="1" customWidth="1"/>
    <col min="8222" max="8222" width="7" style="238" bestFit="1" customWidth="1"/>
    <col min="8223" max="8223" width="7.7109375" style="238" bestFit="1" customWidth="1"/>
    <col min="8224" max="8224" width="8" style="238" bestFit="1" customWidth="1"/>
    <col min="8225" max="8225" width="6.85546875" style="238" customWidth="1"/>
    <col min="8226" max="8226" width="7.85546875" style="238" customWidth="1"/>
    <col min="8227" max="8227" width="6.85546875" style="238" customWidth="1"/>
    <col min="8228" max="8230" width="7.85546875" style="238" customWidth="1"/>
    <col min="8231" max="8231" width="12.140625" style="238" customWidth="1"/>
    <col min="8232" max="8237" width="11.7109375" style="238" customWidth="1"/>
    <col min="8238" max="8450" width="11.42578125" style="238"/>
    <col min="8451" max="8451" width="33" style="238" customWidth="1"/>
    <col min="8452" max="8462" width="12.7109375" style="238" customWidth="1"/>
    <col min="8463" max="8463" width="16.7109375" style="238" customWidth="1"/>
    <col min="8464" max="8464" width="8.140625" style="238" customWidth="1"/>
    <col min="8465" max="8465" width="16.28515625" style="238" customWidth="1"/>
    <col min="8466" max="8466" width="7.85546875" style="238" customWidth="1"/>
    <col min="8467" max="8467" width="16.28515625" style="238" customWidth="1"/>
    <col min="8468" max="8468" width="8.28515625" style="238" customWidth="1"/>
    <col min="8469" max="8469" width="16.42578125" style="238" customWidth="1"/>
    <col min="8470" max="8470" width="7.28515625" style="238" customWidth="1"/>
    <col min="8471" max="8472" width="7.5703125" style="238" customWidth="1"/>
    <col min="8473" max="8473" width="20.5703125" style="238" customWidth="1"/>
    <col min="8474" max="8474" width="15.28515625" style="238" customWidth="1"/>
    <col min="8475" max="8476" width="7.5703125" style="238" customWidth="1"/>
    <col min="8477" max="8477" width="8" style="238" bestFit="1" customWidth="1"/>
    <col min="8478" max="8478" width="7" style="238" bestFit="1" customWidth="1"/>
    <col min="8479" max="8479" width="7.7109375" style="238" bestFit="1" customWidth="1"/>
    <col min="8480" max="8480" width="8" style="238" bestFit="1" customWidth="1"/>
    <col min="8481" max="8481" width="6.85546875" style="238" customWidth="1"/>
    <col min="8482" max="8482" width="7.85546875" style="238" customWidth="1"/>
    <col min="8483" max="8483" width="6.85546875" style="238" customWidth="1"/>
    <col min="8484" max="8486" width="7.85546875" style="238" customWidth="1"/>
    <col min="8487" max="8487" width="12.140625" style="238" customWidth="1"/>
    <col min="8488" max="8493" width="11.7109375" style="238" customWidth="1"/>
    <col min="8494" max="8706" width="11.42578125" style="238"/>
    <col min="8707" max="8707" width="33" style="238" customWidth="1"/>
    <col min="8708" max="8718" width="12.7109375" style="238" customWidth="1"/>
    <col min="8719" max="8719" width="16.7109375" style="238" customWidth="1"/>
    <col min="8720" max="8720" width="8.140625" style="238" customWidth="1"/>
    <col min="8721" max="8721" width="16.28515625" style="238" customWidth="1"/>
    <col min="8722" max="8722" width="7.85546875" style="238" customWidth="1"/>
    <col min="8723" max="8723" width="16.28515625" style="238" customWidth="1"/>
    <col min="8724" max="8724" width="8.28515625" style="238" customWidth="1"/>
    <col min="8725" max="8725" width="16.42578125" style="238" customWidth="1"/>
    <col min="8726" max="8726" width="7.28515625" style="238" customWidth="1"/>
    <col min="8727" max="8728" width="7.5703125" style="238" customWidth="1"/>
    <col min="8729" max="8729" width="20.5703125" style="238" customWidth="1"/>
    <col min="8730" max="8730" width="15.28515625" style="238" customWidth="1"/>
    <col min="8731" max="8732" width="7.5703125" style="238" customWidth="1"/>
    <col min="8733" max="8733" width="8" style="238" bestFit="1" customWidth="1"/>
    <col min="8734" max="8734" width="7" style="238" bestFit="1" customWidth="1"/>
    <col min="8735" max="8735" width="7.7109375" style="238" bestFit="1" customWidth="1"/>
    <col min="8736" max="8736" width="8" style="238" bestFit="1" customWidth="1"/>
    <col min="8737" max="8737" width="6.85546875" style="238" customWidth="1"/>
    <col min="8738" max="8738" width="7.85546875" style="238" customWidth="1"/>
    <col min="8739" max="8739" width="6.85546875" style="238" customWidth="1"/>
    <col min="8740" max="8742" width="7.85546875" style="238" customWidth="1"/>
    <col min="8743" max="8743" width="12.140625" style="238" customWidth="1"/>
    <col min="8744" max="8749" width="11.7109375" style="238" customWidth="1"/>
    <col min="8750" max="8962" width="11.42578125" style="238"/>
    <col min="8963" max="8963" width="33" style="238" customWidth="1"/>
    <col min="8964" max="8974" width="12.7109375" style="238" customWidth="1"/>
    <col min="8975" max="8975" width="16.7109375" style="238" customWidth="1"/>
    <col min="8976" max="8976" width="8.140625" style="238" customWidth="1"/>
    <col min="8977" max="8977" width="16.28515625" style="238" customWidth="1"/>
    <col min="8978" max="8978" width="7.85546875" style="238" customWidth="1"/>
    <col min="8979" max="8979" width="16.28515625" style="238" customWidth="1"/>
    <col min="8980" max="8980" width="8.28515625" style="238" customWidth="1"/>
    <col min="8981" max="8981" width="16.42578125" style="238" customWidth="1"/>
    <col min="8982" max="8982" width="7.28515625" style="238" customWidth="1"/>
    <col min="8983" max="8984" width="7.5703125" style="238" customWidth="1"/>
    <col min="8985" max="8985" width="20.5703125" style="238" customWidth="1"/>
    <col min="8986" max="8986" width="15.28515625" style="238" customWidth="1"/>
    <col min="8987" max="8988" width="7.5703125" style="238" customWidth="1"/>
    <col min="8989" max="8989" width="8" style="238" bestFit="1" customWidth="1"/>
    <col min="8990" max="8990" width="7" style="238" bestFit="1" customWidth="1"/>
    <col min="8991" max="8991" width="7.7109375" style="238" bestFit="1" customWidth="1"/>
    <col min="8992" max="8992" width="8" style="238" bestFit="1" customWidth="1"/>
    <col min="8993" max="8993" width="6.85546875" style="238" customWidth="1"/>
    <col min="8994" max="8994" width="7.85546875" style="238" customWidth="1"/>
    <col min="8995" max="8995" width="6.85546875" style="238" customWidth="1"/>
    <col min="8996" max="8998" width="7.85546875" style="238" customWidth="1"/>
    <col min="8999" max="8999" width="12.140625" style="238" customWidth="1"/>
    <col min="9000" max="9005" width="11.7109375" style="238" customWidth="1"/>
    <col min="9006" max="9218" width="11.42578125" style="238"/>
    <col min="9219" max="9219" width="33" style="238" customWidth="1"/>
    <col min="9220" max="9230" width="12.7109375" style="238" customWidth="1"/>
    <col min="9231" max="9231" width="16.7109375" style="238" customWidth="1"/>
    <col min="9232" max="9232" width="8.140625" style="238" customWidth="1"/>
    <col min="9233" max="9233" width="16.28515625" style="238" customWidth="1"/>
    <col min="9234" max="9234" width="7.85546875" style="238" customWidth="1"/>
    <col min="9235" max="9235" width="16.28515625" style="238" customWidth="1"/>
    <col min="9236" max="9236" width="8.28515625" style="238" customWidth="1"/>
    <col min="9237" max="9237" width="16.42578125" style="238" customWidth="1"/>
    <col min="9238" max="9238" width="7.28515625" style="238" customWidth="1"/>
    <col min="9239" max="9240" width="7.5703125" style="238" customWidth="1"/>
    <col min="9241" max="9241" width="20.5703125" style="238" customWidth="1"/>
    <col min="9242" max="9242" width="15.28515625" style="238" customWidth="1"/>
    <col min="9243" max="9244" width="7.5703125" style="238" customWidth="1"/>
    <col min="9245" max="9245" width="8" style="238" bestFit="1" customWidth="1"/>
    <col min="9246" max="9246" width="7" style="238" bestFit="1" customWidth="1"/>
    <col min="9247" max="9247" width="7.7109375" style="238" bestFit="1" customWidth="1"/>
    <col min="9248" max="9248" width="8" style="238" bestFit="1" customWidth="1"/>
    <col min="9249" max="9249" width="6.85546875" style="238" customWidth="1"/>
    <col min="9250" max="9250" width="7.85546875" style="238" customWidth="1"/>
    <col min="9251" max="9251" width="6.85546875" style="238" customWidth="1"/>
    <col min="9252" max="9254" width="7.85546875" style="238" customWidth="1"/>
    <col min="9255" max="9255" width="12.140625" style="238" customWidth="1"/>
    <col min="9256" max="9261" width="11.7109375" style="238" customWidth="1"/>
    <col min="9262" max="9474" width="11.42578125" style="238"/>
    <col min="9475" max="9475" width="33" style="238" customWidth="1"/>
    <col min="9476" max="9486" width="12.7109375" style="238" customWidth="1"/>
    <col min="9487" max="9487" width="16.7109375" style="238" customWidth="1"/>
    <col min="9488" max="9488" width="8.140625" style="238" customWidth="1"/>
    <col min="9489" max="9489" width="16.28515625" style="238" customWidth="1"/>
    <col min="9490" max="9490" width="7.85546875" style="238" customWidth="1"/>
    <col min="9491" max="9491" width="16.28515625" style="238" customWidth="1"/>
    <col min="9492" max="9492" width="8.28515625" style="238" customWidth="1"/>
    <col min="9493" max="9493" width="16.42578125" style="238" customWidth="1"/>
    <col min="9494" max="9494" width="7.28515625" style="238" customWidth="1"/>
    <col min="9495" max="9496" width="7.5703125" style="238" customWidth="1"/>
    <col min="9497" max="9497" width="20.5703125" style="238" customWidth="1"/>
    <col min="9498" max="9498" width="15.28515625" style="238" customWidth="1"/>
    <col min="9499" max="9500" width="7.5703125" style="238" customWidth="1"/>
    <col min="9501" max="9501" width="8" style="238" bestFit="1" customWidth="1"/>
    <col min="9502" max="9502" width="7" style="238" bestFit="1" customWidth="1"/>
    <col min="9503" max="9503" width="7.7109375" style="238" bestFit="1" customWidth="1"/>
    <col min="9504" max="9504" width="8" style="238" bestFit="1" customWidth="1"/>
    <col min="9505" max="9505" width="6.85546875" style="238" customWidth="1"/>
    <col min="9506" max="9506" width="7.85546875" style="238" customWidth="1"/>
    <col min="9507" max="9507" width="6.85546875" style="238" customWidth="1"/>
    <col min="9508" max="9510" width="7.85546875" style="238" customWidth="1"/>
    <col min="9511" max="9511" width="12.140625" style="238" customWidth="1"/>
    <col min="9512" max="9517" width="11.7109375" style="238" customWidth="1"/>
    <col min="9518" max="9730" width="11.42578125" style="238"/>
    <col min="9731" max="9731" width="33" style="238" customWidth="1"/>
    <col min="9732" max="9742" width="12.7109375" style="238" customWidth="1"/>
    <col min="9743" max="9743" width="16.7109375" style="238" customWidth="1"/>
    <col min="9744" max="9744" width="8.140625" style="238" customWidth="1"/>
    <col min="9745" max="9745" width="16.28515625" style="238" customWidth="1"/>
    <col min="9746" max="9746" width="7.85546875" style="238" customWidth="1"/>
    <col min="9747" max="9747" width="16.28515625" style="238" customWidth="1"/>
    <col min="9748" max="9748" width="8.28515625" style="238" customWidth="1"/>
    <col min="9749" max="9749" width="16.42578125" style="238" customWidth="1"/>
    <col min="9750" max="9750" width="7.28515625" style="238" customWidth="1"/>
    <col min="9751" max="9752" width="7.5703125" style="238" customWidth="1"/>
    <col min="9753" max="9753" width="20.5703125" style="238" customWidth="1"/>
    <col min="9754" max="9754" width="15.28515625" style="238" customWidth="1"/>
    <col min="9755" max="9756" width="7.5703125" style="238" customWidth="1"/>
    <col min="9757" max="9757" width="8" style="238" bestFit="1" customWidth="1"/>
    <col min="9758" max="9758" width="7" style="238" bestFit="1" customWidth="1"/>
    <col min="9759" max="9759" width="7.7109375" style="238" bestFit="1" customWidth="1"/>
    <col min="9760" max="9760" width="8" style="238" bestFit="1" customWidth="1"/>
    <col min="9761" max="9761" width="6.85546875" style="238" customWidth="1"/>
    <col min="9762" max="9762" width="7.85546875" style="238" customWidth="1"/>
    <col min="9763" max="9763" width="6.85546875" style="238" customWidth="1"/>
    <col min="9764" max="9766" width="7.85546875" style="238" customWidth="1"/>
    <col min="9767" max="9767" width="12.140625" style="238" customWidth="1"/>
    <col min="9768" max="9773" width="11.7109375" style="238" customWidth="1"/>
    <col min="9774" max="9986" width="11.42578125" style="238"/>
    <col min="9987" max="9987" width="33" style="238" customWidth="1"/>
    <col min="9988" max="9998" width="12.7109375" style="238" customWidth="1"/>
    <col min="9999" max="9999" width="16.7109375" style="238" customWidth="1"/>
    <col min="10000" max="10000" width="8.140625" style="238" customWidth="1"/>
    <col min="10001" max="10001" width="16.28515625" style="238" customWidth="1"/>
    <col min="10002" max="10002" width="7.85546875" style="238" customWidth="1"/>
    <col min="10003" max="10003" width="16.28515625" style="238" customWidth="1"/>
    <col min="10004" max="10004" width="8.28515625" style="238" customWidth="1"/>
    <col min="10005" max="10005" width="16.42578125" style="238" customWidth="1"/>
    <col min="10006" max="10006" width="7.28515625" style="238" customWidth="1"/>
    <col min="10007" max="10008" width="7.5703125" style="238" customWidth="1"/>
    <col min="10009" max="10009" width="20.5703125" style="238" customWidth="1"/>
    <col min="10010" max="10010" width="15.28515625" style="238" customWidth="1"/>
    <col min="10011" max="10012" width="7.5703125" style="238" customWidth="1"/>
    <col min="10013" max="10013" width="8" style="238" bestFit="1" customWidth="1"/>
    <col min="10014" max="10014" width="7" style="238" bestFit="1" customWidth="1"/>
    <col min="10015" max="10015" width="7.7109375" style="238" bestFit="1" customWidth="1"/>
    <col min="10016" max="10016" width="8" style="238" bestFit="1" customWidth="1"/>
    <col min="10017" max="10017" width="6.85546875" style="238" customWidth="1"/>
    <col min="10018" max="10018" width="7.85546875" style="238" customWidth="1"/>
    <col min="10019" max="10019" width="6.85546875" style="238" customWidth="1"/>
    <col min="10020" max="10022" width="7.85546875" style="238" customWidth="1"/>
    <col min="10023" max="10023" width="12.140625" style="238" customWidth="1"/>
    <col min="10024" max="10029" width="11.7109375" style="238" customWidth="1"/>
    <col min="10030" max="10242" width="11.42578125" style="238"/>
    <col min="10243" max="10243" width="33" style="238" customWidth="1"/>
    <col min="10244" max="10254" width="12.7109375" style="238" customWidth="1"/>
    <col min="10255" max="10255" width="16.7109375" style="238" customWidth="1"/>
    <col min="10256" max="10256" width="8.140625" style="238" customWidth="1"/>
    <col min="10257" max="10257" width="16.28515625" style="238" customWidth="1"/>
    <col min="10258" max="10258" width="7.85546875" style="238" customWidth="1"/>
    <col min="10259" max="10259" width="16.28515625" style="238" customWidth="1"/>
    <col min="10260" max="10260" width="8.28515625" style="238" customWidth="1"/>
    <col min="10261" max="10261" width="16.42578125" style="238" customWidth="1"/>
    <col min="10262" max="10262" width="7.28515625" style="238" customWidth="1"/>
    <col min="10263" max="10264" width="7.5703125" style="238" customWidth="1"/>
    <col min="10265" max="10265" width="20.5703125" style="238" customWidth="1"/>
    <col min="10266" max="10266" width="15.28515625" style="238" customWidth="1"/>
    <col min="10267" max="10268" width="7.5703125" style="238" customWidth="1"/>
    <col min="10269" max="10269" width="8" style="238" bestFit="1" customWidth="1"/>
    <col min="10270" max="10270" width="7" style="238" bestFit="1" customWidth="1"/>
    <col min="10271" max="10271" width="7.7109375" style="238" bestFit="1" customWidth="1"/>
    <col min="10272" max="10272" width="8" style="238" bestFit="1" customWidth="1"/>
    <col min="10273" max="10273" width="6.85546875" style="238" customWidth="1"/>
    <col min="10274" max="10274" width="7.85546875" style="238" customWidth="1"/>
    <col min="10275" max="10275" width="6.85546875" style="238" customWidth="1"/>
    <col min="10276" max="10278" width="7.85546875" style="238" customWidth="1"/>
    <col min="10279" max="10279" width="12.140625" style="238" customWidth="1"/>
    <col min="10280" max="10285" width="11.7109375" style="238" customWidth="1"/>
    <col min="10286" max="10498" width="11.42578125" style="238"/>
    <col min="10499" max="10499" width="33" style="238" customWidth="1"/>
    <col min="10500" max="10510" width="12.7109375" style="238" customWidth="1"/>
    <col min="10511" max="10511" width="16.7109375" style="238" customWidth="1"/>
    <col min="10512" max="10512" width="8.140625" style="238" customWidth="1"/>
    <col min="10513" max="10513" width="16.28515625" style="238" customWidth="1"/>
    <col min="10514" max="10514" width="7.85546875" style="238" customWidth="1"/>
    <col min="10515" max="10515" width="16.28515625" style="238" customWidth="1"/>
    <col min="10516" max="10516" width="8.28515625" style="238" customWidth="1"/>
    <col min="10517" max="10517" width="16.42578125" style="238" customWidth="1"/>
    <col min="10518" max="10518" width="7.28515625" style="238" customWidth="1"/>
    <col min="10519" max="10520" width="7.5703125" style="238" customWidth="1"/>
    <col min="10521" max="10521" width="20.5703125" style="238" customWidth="1"/>
    <col min="10522" max="10522" width="15.28515625" style="238" customWidth="1"/>
    <col min="10523" max="10524" width="7.5703125" style="238" customWidth="1"/>
    <col min="10525" max="10525" width="8" style="238" bestFit="1" customWidth="1"/>
    <col min="10526" max="10526" width="7" style="238" bestFit="1" customWidth="1"/>
    <col min="10527" max="10527" width="7.7109375" style="238" bestFit="1" customWidth="1"/>
    <col min="10528" max="10528" width="8" style="238" bestFit="1" customWidth="1"/>
    <col min="10529" max="10529" width="6.85546875" style="238" customWidth="1"/>
    <col min="10530" max="10530" width="7.85546875" style="238" customWidth="1"/>
    <col min="10531" max="10531" width="6.85546875" style="238" customWidth="1"/>
    <col min="10532" max="10534" width="7.85546875" style="238" customWidth="1"/>
    <col min="10535" max="10535" width="12.140625" style="238" customWidth="1"/>
    <col min="10536" max="10541" width="11.7109375" style="238" customWidth="1"/>
    <col min="10542" max="10754" width="11.42578125" style="238"/>
    <col min="10755" max="10755" width="33" style="238" customWidth="1"/>
    <col min="10756" max="10766" width="12.7109375" style="238" customWidth="1"/>
    <col min="10767" max="10767" width="16.7109375" style="238" customWidth="1"/>
    <col min="10768" max="10768" width="8.140625" style="238" customWidth="1"/>
    <col min="10769" max="10769" width="16.28515625" style="238" customWidth="1"/>
    <col min="10770" max="10770" width="7.85546875" style="238" customWidth="1"/>
    <col min="10771" max="10771" width="16.28515625" style="238" customWidth="1"/>
    <col min="10772" max="10772" width="8.28515625" style="238" customWidth="1"/>
    <col min="10773" max="10773" width="16.42578125" style="238" customWidth="1"/>
    <col min="10774" max="10774" width="7.28515625" style="238" customWidth="1"/>
    <col min="10775" max="10776" width="7.5703125" style="238" customWidth="1"/>
    <col min="10777" max="10777" width="20.5703125" style="238" customWidth="1"/>
    <col min="10778" max="10778" width="15.28515625" style="238" customWidth="1"/>
    <col min="10779" max="10780" width="7.5703125" style="238" customWidth="1"/>
    <col min="10781" max="10781" width="8" style="238" bestFit="1" customWidth="1"/>
    <col min="10782" max="10782" width="7" style="238" bestFit="1" customWidth="1"/>
    <col min="10783" max="10783" width="7.7109375" style="238" bestFit="1" customWidth="1"/>
    <col min="10784" max="10784" width="8" style="238" bestFit="1" customWidth="1"/>
    <col min="10785" max="10785" width="6.85546875" style="238" customWidth="1"/>
    <col min="10786" max="10786" width="7.85546875" style="238" customWidth="1"/>
    <col min="10787" max="10787" width="6.85546875" style="238" customWidth="1"/>
    <col min="10788" max="10790" width="7.85546875" style="238" customWidth="1"/>
    <col min="10791" max="10791" width="12.140625" style="238" customWidth="1"/>
    <col min="10792" max="10797" width="11.7109375" style="238" customWidth="1"/>
    <col min="10798" max="11010" width="11.42578125" style="238"/>
    <col min="11011" max="11011" width="33" style="238" customWidth="1"/>
    <col min="11012" max="11022" width="12.7109375" style="238" customWidth="1"/>
    <col min="11023" max="11023" width="16.7109375" style="238" customWidth="1"/>
    <col min="11024" max="11024" width="8.140625" style="238" customWidth="1"/>
    <col min="11025" max="11025" width="16.28515625" style="238" customWidth="1"/>
    <col min="11026" max="11026" width="7.85546875" style="238" customWidth="1"/>
    <col min="11027" max="11027" width="16.28515625" style="238" customWidth="1"/>
    <col min="11028" max="11028" width="8.28515625" style="238" customWidth="1"/>
    <col min="11029" max="11029" width="16.42578125" style="238" customWidth="1"/>
    <col min="11030" max="11030" width="7.28515625" style="238" customWidth="1"/>
    <col min="11031" max="11032" width="7.5703125" style="238" customWidth="1"/>
    <col min="11033" max="11033" width="20.5703125" style="238" customWidth="1"/>
    <col min="11034" max="11034" width="15.28515625" style="238" customWidth="1"/>
    <col min="11035" max="11036" width="7.5703125" style="238" customWidth="1"/>
    <col min="11037" max="11037" width="8" style="238" bestFit="1" customWidth="1"/>
    <col min="11038" max="11038" width="7" style="238" bestFit="1" customWidth="1"/>
    <col min="11039" max="11039" width="7.7109375" style="238" bestFit="1" customWidth="1"/>
    <col min="11040" max="11040" width="8" style="238" bestFit="1" customWidth="1"/>
    <col min="11041" max="11041" width="6.85546875" style="238" customWidth="1"/>
    <col min="11042" max="11042" width="7.85546875" style="238" customWidth="1"/>
    <col min="11043" max="11043" width="6.85546875" style="238" customWidth="1"/>
    <col min="11044" max="11046" width="7.85546875" style="238" customWidth="1"/>
    <col min="11047" max="11047" width="12.140625" style="238" customWidth="1"/>
    <col min="11048" max="11053" width="11.7109375" style="238" customWidth="1"/>
    <col min="11054" max="11266" width="11.42578125" style="238"/>
    <col min="11267" max="11267" width="33" style="238" customWidth="1"/>
    <col min="11268" max="11278" width="12.7109375" style="238" customWidth="1"/>
    <col min="11279" max="11279" width="16.7109375" style="238" customWidth="1"/>
    <col min="11280" max="11280" width="8.140625" style="238" customWidth="1"/>
    <col min="11281" max="11281" width="16.28515625" style="238" customWidth="1"/>
    <col min="11282" max="11282" width="7.85546875" style="238" customWidth="1"/>
    <col min="11283" max="11283" width="16.28515625" style="238" customWidth="1"/>
    <col min="11284" max="11284" width="8.28515625" style="238" customWidth="1"/>
    <col min="11285" max="11285" width="16.42578125" style="238" customWidth="1"/>
    <col min="11286" max="11286" width="7.28515625" style="238" customWidth="1"/>
    <col min="11287" max="11288" width="7.5703125" style="238" customWidth="1"/>
    <col min="11289" max="11289" width="20.5703125" style="238" customWidth="1"/>
    <col min="11290" max="11290" width="15.28515625" style="238" customWidth="1"/>
    <col min="11291" max="11292" width="7.5703125" style="238" customWidth="1"/>
    <col min="11293" max="11293" width="8" style="238" bestFit="1" customWidth="1"/>
    <col min="11294" max="11294" width="7" style="238" bestFit="1" customWidth="1"/>
    <col min="11295" max="11295" width="7.7109375" style="238" bestFit="1" customWidth="1"/>
    <col min="11296" max="11296" width="8" style="238" bestFit="1" customWidth="1"/>
    <col min="11297" max="11297" width="6.85546875" style="238" customWidth="1"/>
    <col min="11298" max="11298" width="7.85546875" style="238" customWidth="1"/>
    <col min="11299" max="11299" width="6.85546875" style="238" customWidth="1"/>
    <col min="11300" max="11302" width="7.85546875" style="238" customWidth="1"/>
    <col min="11303" max="11303" width="12.140625" style="238" customWidth="1"/>
    <col min="11304" max="11309" width="11.7109375" style="238" customWidth="1"/>
    <col min="11310" max="11522" width="11.42578125" style="238"/>
    <col min="11523" max="11523" width="33" style="238" customWidth="1"/>
    <col min="11524" max="11534" width="12.7109375" style="238" customWidth="1"/>
    <col min="11535" max="11535" width="16.7109375" style="238" customWidth="1"/>
    <col min="11536" max="11536" width="8.140625" style="238" customWidth="1"/>
    <col min="11537" max="11537" width="16.28515625" style="238" customWidth="1"/>
    <col min="11538" max="11538" width="7.85546875" style="238" customWidth="1"/>
    <col min="11539" max="11539" width="16.28515625" style="238" customWidth="1"/>
    <col min="11540" max="11540" width="8.28515625" style="238" customWidth="1"/>
    <col min="11541" max="11541" width="16.42578125" style="238" customWidth="1"/>
    <col min="11542" max="11542" width="7.28515625" style="238" customWidth="1"/>
    <col min="11543" max="11544" width="7.5703125" style="238" customWidth="1"/>
    <col min="11545" max="11545" width="20.5703125" style="238" customWidth="1"/>
    <col min="11546" max="11546" width="15.28515625" style="238" customWidth="1"/>
    <col min="11547" max="11548" width="7.5703125" style="238" customWidth="1"/>
    <col min="11549" max="11549" width="8" style="238" bestFit="1" customWidth="1"/>
    <col min="11550" max="11550" width="7" style="238" bestFit="1" customWidth="1"/>
    <col min="11551" max="11551" width="7.7109375" style="238" bestFit="1" customWidth="1"/>
    <col min="11552" max="11552" width="8" style="238" bestFit="1" customWidth="1"/>
    <col min="11553" max="11553" width="6.85546875" style="238" customWidth="1"/>
    <col min="11554" max="11554" width="7.85546875" style="238" customWidth="1"/>
    <col min="11555" max="11555" width="6.85546875" style="238" customWidth="1"/>
    <col min="11556" max="11558" width="7.85546875" style="238" customWidth="1"/>
    <col min="11559" max="11559" width="12.140625" style="238" customWidth="1"/>
    <col min="11560" max="11565" width="11.7109375" style="238" customWidth="1"/>
    <col min="11566" max="11778" width="11.42578125" style="238"/>
    <col min="11779" max="11779" width="33" style="238" customWidth="1"/>
    <col min="11780" max="11790" width="12.7109375" style="238" customWidth="1"/>
    <col min="11791" max="11791" width="16.7109375" style="238" customWidth="1"/>
    <col min="11792" max="11792" width="8.140625" style="238" customWidth="1"/>
    <col min="11793" max="11793" width="16.28515625" style="238" customWidth="1"/>
    <col min="11794" max="11794" width="7.85546875" style="238" customWidth="1"/>
    <col min="11795" max="11795" width="16.28515625" style="238" customWidth="1"/>
    <col min="11796" max="11796" width="8.28515625" style="238" customWidth="1"/>
    <col min="11797" max="11797" width="16.42578125" style="238" customWidth="1"/>
    <col min="11798" max="11798" width="7.28515625" style="238" customWidth="1"/>
    <col min="11799" max="11800" width="7.5703125" style="238" customWidth="1"/>
    <col min="11801" max="11801" width="20.5703125" style="238" customWidth="1"/>
    <col min="11802" max="11802" width="15.28515625" style="238" customWidth="1"/>
    <col min="11803" max="11804" width="7.5703125" style="238" customWidth="1"/>
    <col min="11805" max="11805" width="8" style="238" bestFit="1" customWidth="1"/>
    <col min="11806" max="11806" width="7" style="238" bestFit="1" customWidth="1"/>
    <col min="11807" max="11807" width="7.7109375" style="238" bestFit="1" customWidth="1"/>
    <col min="11808" max="11808" width="8" style="238" bestFit="1" customWidth="1"/>
    <col min="11809" max="11809" width="6.85546875" style="238" customWidth="1"/>
    <col min="11810" max="11810" width="7.85546875" style="238" customWidth="1"/>
    <col min="11811" max="11811" width="6.85546875" style="238" customWidth="1"/>
    <col min="11812" max="11814" width="7.85546875" style="238" customWidth="1"/>
    <col min="11815" max="11815" width="12.140625" style="238" customWidth="1"/>
    <col min="11816" max="11821" width="11.7109375" style="238" customWidth="1"/>
    <col min="11822" max="12034" width="11.42578125" style="238"/>
    <col min="12035" max="12035" width="33" style="238" customWidth="1"/>
    <col min="12036" max="12046" width="12.7109375" style="238" customWidth="1"/>
    <col min="12047" max="12047" width="16.7109375" style="238" customWidth="1"/>
    <col min="12048" max="12048" width="8.140625" style="238" customWidth="1"/>
    <col min="12049" max="12049" width="16.28515625" style="238" customWidth="1"/>
    <col min="12050" max="12050" width="7.85546875" style="238" customWidth="1"/>
    <col min="12051" max="12051" width="16.28515625" style="238" customWidth="1"/>
    <col min="12052" max="12052" width="8.28515625" style="238" customWidth="1"/>
    <col min="12053" max="12053" width="16.42578125" style="238" customWidth="1"/>
    <col min="12054" max="12054" width="7.28515625" style="238" customWidth="1"/>
    <col min="12055" max="12056" width="7.5703125" style="238" customWidth="1"/>
    <col min="12057" max="12057" width="20.5703125" style="238" customWidth="1"/>
    <col min="12058" max="12058" width="15.28515625" style="238" customWidth="1"/>
    <col min="12059" max="12060" width="7.5703125" style="238" customWidth="1"/>
    <col min="12061" max="12061" width="8" style="238" bestFit="1" customWidth="1"/>
    <col min="12062" max="12062" width="7" style="238" bestFit="1" customWidth="1"/>
    <col min="12063" max="12063" width="7.7109375" style="238" bestFit="1" customWidth="1"/>
    <col min="12064" max="12064" width="8" style="238" bestFit="1" customWidth="1"/>
    <col min="12065" max="12065" width="6.85546875" style="238" customWidth="1"/>
    <col min="12066" max="12066" width="7.85546875" style="238" customWidth="1"/>
    <col min="12067" max="12067" width="6.85546875" style="238" customWidth="1"/>
    <col min="12068" max="12070" width="7.85546875" style="238" customWidth="1"/>
    <col min="12071" max="12071" width="12.140625" style="238" customWidth="1"/>
    <col min="12072" max="12077" width="11.7109375" style="238" customWidth="1"/>
    <col min="12078" max="12290" width="11.42578125" style="238"/>
    <col min="12291" max="12291" width="33" style="238" customWidth="1"/>
    <col min="12292" max="12302" width="12.7109375" style="238" customWidth="1"/>
    <col min="12303" max="12303" width="16.7109375" style="238" customWidth="1"/>
    <col min="12304" max="12304" width="8.140625" style="238" customWidth="1"/>
    <col min="12305" max="12305" width="16.28515625" style="238" customWidth="1"/>
    <col min="12306" max="12306" width="7.85546875" style="238" customWidth="1"/>
    <col min="12307" max="12307" width="16.28515625" style="238" customWidth="1"/>
    <col min="12308" max="12308" width="8.28515625" style="238" customWidth="1"/>
    <col min="12309" max="12309" width="16.42578125" style="238" customWidth="1"/>
    <col min="12310" max="12310" width="7.28515625" style="238" customWidth="1"/>
    <col min="12311" max="12312" width="7.5703125" style="238" customWidth="1"/>
    <col min="12313" max="12313" width="20.5703125" style="238" customWidth="1"/>
    <col min="12314" max="12314" width="15.28515625" style="238" customWidth="1"/>
    <col min="12315" max="12316" width="7.5703125" style="238" customWidth="1"/>
    <col min="12317" max="12317" width="8" style="238" bestFit="1" customWidth="1"/>
    <col min="12318" max="12318" width="7" style="238" bestFit="1" customWidth="1"/>
    <col min="12319" max="12319" width="7.7109375" style="238" bestFit="1" customWidth="1"/>
    <col min="12320" max="12320" width="8" style="238" bestFit="1" customWidth="1"/>
    <col min="12321" max="12321" width="6.85546875" style="238" customWidth="1"/>
    <col min="12322" max="12322" width="7.85546875" style="238" customWidth="1"/>
    <col min="12323" max="12323" width="6.85546875" style="238" customWidth="1"/>
    <col min="12324" max="12326" width="7.85546875" style="238" customWidth="1"/>
    <col min="12327" max="12327" width="12.140625" style="238" customWidth="1"/>
    <col min="12328" max="12333" width="11.7109375" style="238" customWidth="1"/>
    <col min="12334" max="12546" width="11.42578125" style="238"/>
    <col min="12547" max="12547" width="33" style="238" customWidth="1"/>
    <col min="12548" max="12558" width="12.7109375" style="238" customWidth="1"/>
    <col min="12559" max="12559" width="16.7109375" style="238" customWidth="1"/>
    <col min="12560" max="12560" width="8.140625" style="238" customWidth="1"/>
    <col min="12561" max="12561" width="16.28515625" style="238" customWidth="1"/>
    <col min="12562" max="12562" width="7.85546875" style="238" customWidth="1"/>
    <col min="12563" max="12563" width="16.28515625" style="238" customWidth="1"/>
    <col min="12564" max="12564" width="8.28515625" style="238" customWidth="1"/>
    <col min="12565" max="12565" width="16.42578125" style="238" customWidth="1"/>
    <col min="12566" max="12566" width="7.28515625" style="238" customWidth="1"/>
    <col min="12567" max="12568" width="7.5703125" style="238" customWidth="1"/>
    <col min="12569" max="12569" width="20.5703125" style="238" customWidth="1"/>
    <col min="12570" max="12570" width="15.28515625" style="238" customWidth="1"/>
    <col min="12571" max="12572" width="7.5703125" style="238" customWidth="1"/>
    <col min="12573" max="12573" width="8" style="238" bestFit="1" customWidth="1"/>
    <col min="12574" max="12574" width="7" style="238" bestFit="1" customWidth="1"/>
    <col min="12575" max="12575" width="7.7109375" style="238" bestFit="1" customWidth="1"/>
    <col min="12576" max="12576" width="8" style="238" bestFit="1" customWidth="1"/>
    <col min="12577" max="12577" width="6.85546875" style="238" customWidth="1"/>
    <col min="12578" max="12578" width="7.85546875" style="238" customWidth="1"/>
    <col min="12579" max="12579" width="6.85546875" style="238" customWidth="1"/>
    <col min="12580" max="12582" width="7.85546875" style="238" customWidth="1"/>
    <col min="12583" max="12583" width="12.140625" style="238" customWidth="1"/>
    <col min="12584" max="12589" width="11.7109375" style="238" customWidth="1"/>
    <col min="12590" max="12802" width="11.42578125" style="238"/>
    <col min="12803" max="12803" width="33" style="238" customWidth="1"/>
    <col min="12804" max="12814" width="12.7109375" style="238" customWidth="1"/>
    <col min="12815" max="12815" width="16.7109375" style="238" customWidth="1"/>
    <col min="12816" max="12816" width="8.140625" style="238" customWidth="1"/>
    <col min="12817" max="12817" width="16.28515625" style="238" customWidth="1"/>
    <col min="12818" max="12818" width="7.85546875" style="238" customWidth="1"/>
    <col min="12819" max="12819" width="16.28515625" style="238" customWidth="1"/>
    <col min="12820" max="12820" width="8.28515625" style="238" customWidth="1"/>
    <col min="12821" max="12821" width="16.42578125" style="238" customWidth="1"/>
    <col min="12822" max="12822" width="7.28515625" style="238" customWidth="1"/>
    <col min="12823" max="12824" width="7.5703125" style="238" customWidth="1"/>
    <col min="12825" max="12825" width="20.5703125" style="238" customWidth="1"/>
    <col min="12826" max="12826" width="15.28515625" style="238" customWidth="1"/>
    <col min="12827" max="12828" width="7.5703125" style="238" customWidth="1"/>
    <col min="12829" max="12829" width="8" style="238" bestFit="1" customWidth="1"/>
    <col min="12830" max="12830" width="7" style="238" bestFit="1" customWidth="1"/>
    <col min="12831" max="12831" width="7.7109375" style="238" bestFit="1" customWidth="1"/>
    <col min="12832" max="12832" width="8" style="238" bestFit="1" customWidth="1"/>
    <col min="12833" max="12833" width="6.85546875" style="238" customWidth="1"/>
    <col min="12834" max="12834" width="7.85546875" style="238" customWidth="1"/>
    <col min="12835" max="12835" width="6.85546875" style="238" customWidth="1"/>
    <col min="12836" max="12838" width="7.85546875" style="238" customWidth="1"/>
    <col min="12839" max="12839" width="12.140625" style="238" customWidth="1"/>
    <col min="12840" max="12845" width="11.7109375" style="238" customWidth="1"/>
    <col min="12846" max="13058" width="11.42578125" style="238"/>
    <col min="13059" max="13059" width="33" style="238" customWidth="1"/>
    <col min="13060" max="13070" width="12.7109375" style="238" customWidth="1"/>
    <col min="13071" max="13071" width="16.7109375" style="238" customWidth="1"/>
    <col min="13072" max="13072" width="8.140625" style="238" customWidth="1"/>
    <col min="13073" max="13073" width="16.28515625" style="238" customWidth="1"/>
    <col min="13074" max="13074" width="7.85546875" style="238" customWidth="1"/>
    <col min="13075" max="13075" width="16.28515625" style="238" customWidth="1"/>
    <col min="13076" max="13076" width="8.28515625" style="238" customWidth="1"/>
    <col min="13077" max="13077" width="16.42578125" style="238" customWidth="1"/>
    <col min="13078" max="13078" width="7.28515625" style="238" customWidth="1"/>
    <col min="13079" max="13080" width="7.5703125" style="238" customWidth="1"/>
    <col min="13081" max="13081" width="20.5703125" style="238" customWidth="1"/>
    <col min="13082" max="13082" width="15.28515625" style="238" customWidth="1"/>
    <col min="13083" max="13084" width="7.5703125" style="238" customWidth="1"/>
    <col min="13085" max="13085" width="8" style="238" bestFit="1" customWidth="1"/>
    <col min="13086" max="13086" width="7" style="238" bestFit="1" customWidth="1"/>
    <col min="13087" max="13087" width="7.7109375" style="238" bestFit="1" customWidth="1"/>
    <col min="13088" max="13088" width="8" style="238" bestFit="1" customWidth="1"/>
    <col min="13089" max="13089" width="6.85546875" style="238" customWidth="1"/>
    <col min="13090" max="13090" width="7.85546875" style="238" customWidth="1"/>
    <col min="13091" max="13091" width="6.85546875" style="238" customWidth="1"/>
    <col min="13092" max="13094" width="7.85546875" style="238" customWidth="1"/>
    <col min="13095" max="13095" width="12.140625" style="238" customWidth="1"/>
    <col min="13096" max="13101" width="11.7109375" style="238" customWidth="1"/>
    <col min="13102" max="13314" width="11.42578125" style="238"/>
    <col min="13315" max="13315" width="33" style="238" customWidth="1"/>
    <col min="13316" max="13326" width="12.7109375" style="238" customWidth="1"/>
    <col min="13327" max="13327" width="16.7109375" style="238" customWidth="1"/>
    <col min="13328" max="13328" width="8.140625" style="238" customWidth="1"/>
    <col min="13329" max="13329" width="16.28515625" style="238" customWidth="1"/>
    <col min="13330" max="13330" width="7.85546875" style="238" customWidth="1"/>
    <col min="13331" max="13331" width="16.28515625" style="238" customWidth="1"/>
    <col min="13332" max="13332" width="8.28515625" style="238" customWidth="1"/>
    <col min="13333" max="13333" width="16.42578125" style="238" customWidth="1"/>
    <col min="13334" max="13334" width="7.28515625" style="238" customWidth="1"/>
    <col min="13335" max="13336" width="7.5703125" style="238" customWidth="1"/>
    <col min="13337" max="13337" width="20.5703125" style="238" customWidth="1"/>
    <col min="13338" max="13338" width="15.28515625" style="238" customWidth="1"/>
    <col min="13339" max="13340" width="7.5703125" style="238" customWidth="1"/>
    <col min="13341" max="13341" width="8" style="238" bestFit="1" customWidth="1"/>
    <col min="13342" max="13342" width="7" style="238" bestFit="1" customWidth="1"/>
    <col min="13343" max="13343" width="7.7109375" style="238" bestFit="1" customWidth="1"/>
    <col min="13344" max="13344" width="8" style="238" bestFit="1" customWidth="1"/>
    <col min="13345" max="13345" width="6.85546875" style="238" customWidth="1"/>
    <col min="13346" max="13346" width="7.85546875" style="238" customWidth="1"/>
    <col min="13347" max="13347" width="6.85546875" style="238" customWidth="1"/>
    <col min="13348" max="13350" width="7.85546875" style="238" customWidth="1"/>
    <col min="13351" max="13351" width="12.140625" style="238" customWidth="1"/>
    <col min="13352" max="13357" width="11.7109375" style="238" customWidth="1"/>
    <col min="13358" max="13570" width="11.42578125" style="238"/>
    <col min="13571" max="13571" width="33" style="238" customWidth="1"/>
    <col min="13572" max="13582" width="12.7109375" style="238" customWidth="1"/>
    <col min="13583" max="13583" width="16.7109375" style="238" customWidth="1"/>
    <col min="13584" max="13584" width="8.140625" style="238" customWidth="1"/>
    <col min="13585" max="13585" width="16.28515625" style="238" customWidth="1"/>
    <col min="13586" max="13586" width="7.85546875" style="238" customWidth="1"/>
    <col min="13587" max="13587" width="16.28515625" style="238" customWidth="1"/>
    <col min="13588" max="13588" width="8.28515625" style="238" customWidth="1"/>
    <col min="13589" max="13589" width="16.42578125" style="238" customWidth="1"/>
    <col min="13590" max="13590" width="7.28515625" style="238" customWidth="1"/>
    <col min="13591" max="13592" width="7.5703125" style="238" customWidth="1"/>
    <col min="13593" max="13593" width="20.5703125" style="238" customWidth="1"/>
    <col min="13594" max="13594" width="15.28515625" style="238" customWidth="1"/>
    <col min="13595" max="13596" width="7.5703125" style="238" customWidth="1"/>
    <col min="13597" max="13597" width="8" style="238" bestFit="1" customWidth="1"/>
    <col min="13598" max="13598" width="7" style="238" bestFit="1" customWidth="1"/>
    <col min="13599" max="13599" width="7.7109375" style="238" bestFit="1" customWidth="1"/>
    <col min="13600" max="13600" width="8" style="238" bestFit="1" customWidth="1"/>
    <col min="13601" max="13601" width="6.85546875" style="238" customWidth="1"/>
    <col min="13602" max="13602" width="7.85546875" style="238" customWidth="1"/>
    <col min="13603" max="13603" width="6.85546875" style="238" customWidth="1"/>
    <col min="13604" max="13606" width="7.85546875" style="238" customWidth="1"/>
    <col min="13607" max="13607" width="12.140625" style="238" customWidth="1"/>
    <col min="13608" max="13613" width="11.7109375" style="238" customWidth="1"/>
    <col min="13614" max="13826" width="11.42578125" style="238"/>
    <col min="13827" max="13827" width="33" style="238" customWidth="1"/>
    <col min="13828" max="13838" width="12.7109375" style="238" customWidth="1"/>
    <col min="13839" max="13839" width="16.7109375" style="238" customWidth="1"/>
    <col min="13840" max="13840" width="8.140625" style="238" customWidth="1"/>
    <col min="13841" max="13841" width="16.28515625" style="238" customWidth="1"/>
    <col min="13842" max="13842" width="7.85546875" style="238" customWidth="1"/>
    <col min="13843" max="13843" width="16.28515625" style="238" customWidth="1"/>
    <col min="13844" max="13844" width="8.28515625" style="238" customWidth="1"/>
    <col min="13845" max="13845" width="16.42578125" style="238" customWidth="1"/>
    <col min="13846" max="13846" width="7.28515625" style="238" customWidth="1"/>
    <col min="13847" max="13848" width="7.5703125" style="238" customWidth="1"/>
    <col min="13849" max="13849" width="20.5703125" style="238" customWidth="1"/>
    <col min="13850" max="13850" width="15.28515625" style="238" customWidth="1"/>
    <col min="13851" max="13852" width="7.5703125" style="238" customWidth="1"/>
    <col min="13853" max="13853" width="8" style="238" bestFit="1" customWidth="1"/>
    <col min="13854" max="13854" width="7" style="238" bestFit="1" customWidth="1"/>
    <col min="13855" max="13855" width="7.7109375" style="238" bestFit="1" customWidth="1"/>
    <col min="13856" max="13856" width="8" style="238" bestFit="1" customWidth="1"/>
    <col min="13857" max="13857" width="6.85546875" style="238" customWidth="1"/>
    <col min="13858" max="13858" width="7.85546875" style="238" customWidth="1"/>
    <col min="13859" max="13859" width="6.85546875" style="238" customWidth="1"/>
    <col min="13860" max="13862" width="7.85546875" style="238" customWidth="1"/>
    <col min="13863" max="13863" width="12.140625" style="238" customWidth="1"/>
    <col min="13864" max="13869" width="11.7109375" style="238" customWidth="1"/>
    <col min="13870" max="14082" width="11.42578125" style="238"/>
    <col min="14083" max="14083" width="33" style="238" customWidth="1"/>
    <col min="14084" max="14094" width="12.7109375" style="238" customWidth="1"/>
    <col min="14095" max="14095" width="16.7109375" style="238" customWidth="1"/>
    <col min="14096" max="14096" width="8.140625" style="238" customWidth="1"/>
    <col min="14097" max="14097" width="16.28515625" style="238" customWidth="1"/>
    <col min="14098" max="14098" width="7.85546875" style="238" customWidth="1"/>
    <col min="14099" max="14099" width="16.28515625" style="238" customWidth="1"/>
    <col min="14100" max="14100" width="8.28515625" style="238" customWidth="1"/>
    <col min="14101" max="14101" width="16.42578125" style="238" customWidth="1"/>
    <col min="14102" max="14102" width="7.28515625" style="238" customWidth="1"/>
    <col min="14103" max="14104" width="7.5703125" style="238" customWidth="1"/>
    <col min="14105" max="14105" width="20.5703125" style="238" customWidth="1"/>
    <col min="14106" max="14106" width="15.28515625" style="238" customWidth="1"/>
    <col min="14107" max="14108" width="7.5703125" style="238" customWidth="1"/>
    <col min="14109" max="14109" width="8" style="238" bestFit="1" customWidth="1"/>
    <col min="14110" max="14110" width="7" style="238" bestFit="1" customWidth="1"/>
    <col min="14111" max="14111" width="7.7109375" style="238" bestFit="1" customWidth="1"/>
    <col min="14112" max="14112" width="8" style="238" bestFit="1" customWidth="1"/>
    <col min="14113" max="14113" width="6.85546875" style="238" customWidth="1"/>
    <col min="14114" max="14114" width="7.85546875" style="238" customWidth="1"/>
    <col min="14115" max="14115" width="6.85546875" style="238" customWidth="1"/>
    <col min="14116" max="14118" width="7.85546875" style="238" customWidth="1"/>
    <col min="14119" max="14119" width="12.140625" style="238" customWidth="1"/>
    <col min="14120" max="14125" width="11.7109375" style="238" customWidth="1"/>
    <col min="14126" max="14338" width="11.42578125" style="238"/>
    <col min="14339" max="14339" width="33" style="238" customWidth="1"/>
    <col min="14340" max="14350" width="12.7109375" style="238" customWidth="1"/>
    <col min="14351" max="14351" width="16.7109375" style="238" customWidth="1"/>
    <col min="14352" max="14352" width="8.140625" style="238" customWidth="1"/>
    <col min="14353" max="14353" width="16.28515625" style="238" customWidth="1"/>
    <col min="14354" max="14354" width="7.85546875" style="238" customWidth="1"/>
    <col min="14355" max="14355" width="16.28515625" style="238" customWidth="1"/>
    <col min="14356" max="14356" width="8.28515625" style="238" customWidth="1"/>
    <col min="14357" max="14357" width="16.42578125" style="238" customWidth="1"/>
    <col min="14358" max="14358" width="7.28515625" style="238" customWidth="1"/>
    <col min="14359" max="14360" width="7.5703125" style="238" customWidth="1"/>
    <col min="14361" max="14361" width="20.5703125" style="238" customWidth="1"/>
    <col min="14362" max="14362" width="15.28515625" style="238" customWidth="1"/>
    <col min="14363" max="14364" width="7.5703125" style="238" customWidth="1"/>
    <col min="14365" max="14365" width="8" style="238" bestFit="1" customWidth="1"/>
    <col min="14366" max="14366" width="7" style="238" bestFit="1" customWidth="1"/>
    <col min="14367" max="14367" width="7.7109375" style="238" bestFit="1" customWidth="1"/>
    <col min="14368" max="14368" width="8" style="238" bestFit="1" customWidth="1"/>
    <col min="14369" max="14369" width="6.85546875" style="238" customWidth="1"/>
    <col min="14370" max="14370" width="7.85546875" style="238" customWidth="1"/>
    <col min="14371" max="14371" width="6.85546875" style="238" customWidth="1"/>
    <col min="14372" max="14374" width="7.85546875" style="238" customWidth="1"/>
    <col min="14375" max="14375" width="12.140625" style="238" customWidth="1"/>
    <col min="14376" max="14381" width="11.7109375" style="238" customWidth="1"/>
    <col min="14382" max="14594" width="11.42578125" style="238"/>
    <col min="14595" max="14595" width="33" style="238" customWidth="1"/>
    <col min="14596" max="14606" width="12.7109375" style="238" customWidth="1"/>
    <col min="14607" max="14607" width="16.7109375" style="238" customWidth="1"/>
    <col min="14608" max="14608" width="8.140625" style="238" customWidth="1"/>
    <col min="14609" max="14609" width="16.28515625" style="238" customWidth="1"/>
    <col min="14610" max="14610" width="7.85546875" style="238" customWidth="1"/>
    <col min="14611" max="14611" width="16.28515625" style="238" customWidth="1"/>
    <col min="14612" max="14612" width="8.28515625" style="238" customWidth="1"/>
    <col min="14613" max="14613" width="16.42578125" style="238" customWidth="1"/>
    <col min="14614" max="14614" width="7.28515625" style="238" customWidth="1"/>
    <col min="14615" max="14616" width="7.5703125" style="238" customWidth="1"/>
    <col min="14617" max="14617" width="20.5703125" style="238" customWidth="1"/>
    <col min="14618" max="14618" width="15.28515625" style="238" customWidth="1"/>
    <col min="14619" max="14620" width="7.5703125" style="238" customWidth="1"/>
    <col min="14621" max="14621" width="8" style="238" bestFit="1" customWidth="1"/>
    <col min="14622" max="14622" width="7" style="238" bestFit="1" customWidth="1"/>
    <col min="14623" max="14623" width="7.7109375" style="238" bestFit="1" customWidth="1"/>
    <col min="14624" max="14624" width="8" style="238" bestFit="1" customWidth="1"/>
    <col min="14625" max="14625" width="6.85546875" style="238" customWidth="1"/>
    <col min="14626" max="14626" width="7.85546875" style="238" customWidth="1"/>
    <col min="14627" max="14627" width="6.85546875" style="238" customWidth="1"/>
    <col min="14628" max="14630" width="7.85546875" style="238" customWidth="1"/>
    <col min="14631" max="14631" width="12.140625" style="238" customWidth="1"/>
    <col min="14632" max="14637" width="11.7109375" style="238" customWidth="1"/>
    <col min="14638" max="14850" width="11.42578125" style="238"/>
    <col min="14851" max="14851" width="33" style="238" customWidth="1"/>
    <col min="14852" max="14862" width="12.7109375" style="238" customWidth="1"/>
    <col min="14863" max="14863" width="16.7109375" style="238" customWidth="1"/>
    <col min="14864" max="14864" width="8.140625" style="238" customWidth="1"/>
    <col min="14865" max="14865" width="16.28515625" style="238" customWidth="1"/>
    <col min="14866" max="14866" width="7.85546875" style="238" customWidth="1"/>
    <col min="14867" max="14867" width="16.28515625" style="238" customWidth="1"/>
    <col min="14868" max="14868" width="8.28515625" style="238" customWidth="1"/>
    <col min="14869" max="14869" width="16.42578125" style="238" customWidth="1"/>
    <col min="14870" max="14870" width="7.28515625" style="238" customWidth="1"/>
    <col min="14871" max="14872" width="7.5703125" style="238" customWidth="1"/>
    <col min="14873" max="14873" width="20.5703125" style="238" customWidth="1"/>
    <col min="14874" max="14874" width="15.28515625" style="238" customWidth="1"/>
    <col min="14875" max="14876" width="7.5703125" style="238" customWidth="1"/>
    <col min="14877" max="14877" width="8" style="238" bestFit="1" customWidth="1"/>
    <col min="14878" max="14878" width="7" style="238" bestFit="1" customWidth="1"/>
    <col min="14879" max="14879" width="7.7109375" style="238" bestFit="1" customWidth="1"/>
    <col min="14880" max="14880" width="8" style="238" bestFit="1" customWidth="1"/>
    <col min="14881" max="14881" width="6.85546875" style="238" customWidth="1"/>
    <col min="14882" max="14882" width="7.85546875" style="238" customWidth="1"/>
    <col min="14883" max="14883" width="6.85546875" style="238" customWidth="1"/>
    <col min="14884" max="14886" width="7.85546875" style="238" customWidth="1"/>
    <col min="14887" max="14887" width="12.140625" style="238" customWidth="1"/>
    <col min="14888" max="14893" width="11.7109375" style="238" customWidth="1"/>
    <col min="14894" max="15106" width="11.42578125" style="238"/>
    <col min="15107" max="15107" width="33" style="238" customWidth="1"/>
    <col min="15108" max="15118" width="12.7109375" style="238" customWidth="1"/>
    <col min="15119" max="15119" width="16.7109375" style="238" customWidth="1"/>
    <col min="15120" max="15120" width="8.140625" style="238" customWidth="1"/>
    <col min="15121" max="15121" width="16.28515625" style="238" customWidth="1"/>
    <col min="15122" max="15122" width="7.85546875" style="238" customWidth="1"/>
    <col min="15123" max="15123" width="16.28515625" style="238" customWidth="1"/>
    <col min="15124" max="15124" width="8.28515625" style="238" customWidth="1"/>
    <col min="15125" max="15125" width="16.42578125" style="238" customWidth="1"/>
    <col min="15126" max="15126" width="7.28515625" style="238" customWidth="1"/>
    <col min="15127" max="15128" width="7.5703125" style="238" customWidth="1"/>
    <col min="15129" max="15129" width="20.5703125" style="238" customWidth="1"/>
    <col min="15130" max="15130" width="15.28515625" style="238" customWidth="1"/>
    <col min="15131" max="15132" width="7.5703125" style="238" customWidth="1"/>
    <col min="15133" max="15133" width="8" style="238" bestFit="1" customWidth="1"/>
    <col min="15134" max="15134" width="7" style="238" bestFit="1" customWidth="1"/>
    <col min="15135" max="15135" width="7.7109375" style="238" bestFit="1" customWidth="1"/>
    <col min="15136" max="15136" width="8" style="238" bestFit="1" customWidth="1"/>
    <col min="15137" max="15137" width="6.85546875" style="238" customWidth="1"/>
    <col min="15138" max="15138" width="7.85546875" style="238" customWidth="1"/>
    <col min="15139" max="15139" width="6.85546875" style="238" customWidth="1"/>
    <col min="15140" max="15142" width="7.85546875" style="238" customWidth="1"/>
    <col min="15143" max="15143" width="12.140625" style="238" customWidth="1"/>
    <col min="15144" max="15149" width="11.7109375" style="238" customWidth="1"/>
    <col min="15150" max="15362" width="11.42578125" style="238"/>
    <col min="15363" max="15363" width="33" style="238" customWidth="1"/>
    <col min="15364" max="15374" width="12.7109375" style="238" customWidth="1"/>
    <col min="15375" max="15375" width="16.7109375" style="238" customWidth="1"/>
    <col min="15376" max="15376" width="8.140625" style="238" customWidth="1"/>
    <col min="15377" max="15377" width="16.28515625" style="238" customWidth="1"/>
    <col min="15378" max="15378" width="7.85546875" style="238" customWidth="1"/>
    <col min="15379" max="15379" width="16.28515625" style="238" customWidth="1"/>
    <col min="15380" max="15380" width="8.28515625" style="238" customWidth="1"/>
    <col min="15381" max="15381" width="16.42578125" style="238" customWidth="1"/>
    <col min="15382" max="15382" width="7.28515625" style="238" customWidth="1"/>
    <col min="15383" max="15384" width="7.5703125" style="238" customWidth="1"/>
    <col min="15385" max="15385" width="20.5703125" style="238" customWidth="1"/>
    <col min="15386" max="15386" width="15.28515625" style="238" customWidth="1"/>
    <col min="15387" max="15388" width="7.5703125" style="238" customWidth="1"/>
    <col min="15389" max="15389" width="8" style="238" bestFit="1" customWidth="1"/>
    <col min="15390" max="15390" width="7" style="238" bestFit="1" customWidth="1"/>
    <col min="15391" max="15391" width="7.7109375" style="238" bestFit="1" customWidth="1"/>
    <col min="15392" max="15392" width="8" style="238" bestFit="1" customWidth="1"/>
    <col min="15393" max="15393" width="6.85546875" style="238" customWidth="1"/>
    <col min="15394" max="15394" width="7.85546875" style="238" customWidth="1"/>
    <col min="15395" max="15395" width="6.85546875" style="238" customWidth="1"/>
    <col min="15396" max="15398" width="7.85546875" style="238" customWidth="1"/>
    <col min="15399" max="15399" width="12.140625" style="238" customWidth="1"/>
    <col min="15400" max="15405" width="11.7109375" style="238" customWidth="1"/>
    <col min="15406" max="15618" width="11.42578125" style="238"/>
    <col min="15619" max="15619" width="33" style="238" customWidth="1"/>
    <col min="15620" max="15630" width="12.7109375" style="238" customWidth="1"/>
    <col min="15631" max="15631" width="16.7109375" style="238" customWidth="1"/>
    <col min="15632" max="15632" width="8.140625" style="238" customWidth="1"/>
    <col min="15633" max="15633" width="16.28515625" style="238" customWidth="1"/>
    <col min="15634" max="15634" width="7.85546875" style="238" customWidth="1"/>
    <col min="15635" max="15635" width="16.28515625" style="238" customWidth="1"/>
    <col min="15636" max="15636" width="8.28515625" style="238" customWidth="1"/>
    <col min="15637" max="15637" width="16.42578125" style="238" customWidth="1"/>
    <col min="15638" max="15638" width="7.28515625" style="238" customWidth="1"/>
    <col min="15639" max="15640" width="7.5703125" style="238" customWidth="1"/>
    <col min="15641" max="15641" width="20.5703125" style="238" customWidth="1"/>
    <col min="15642" max="15642" width="15.28515625" style="238" customWidth="1"/>
    <col min="15643" max="15644" width="7.5703125" style="238" customWidth="1"/>
    <col min="15645" max="15645" width="8" style="238" bestFit="1" customWidth="1"/>
    <col min="15646" max="15646" width="7" style="238" bestFit="1" customWidth="1"/>
    <col min="15647" max="15647" width="7.7109375" style="238" bestFit="1" customWidth="1"/>
    <col min="15648" max="15648" width="8" style="238" bestFit="1" customWidth="1"/>
    <col min="15649" max="15649" width="6.85546875" style="238" customWidth="1"/>
    <col min="15650" max="15650" width="7.85546875" style="238" customWidth="1"/>
    <col min="15651" max="15651" width="6.85546875" style="238" customWidth="1"/>
    <col min="15652" max="15654" width="7.85546875" style="238" customWidth="1"/>
    <col min="15655" max="15655" width="12.140625" style="238" customWidth="1"/>
    <col min="15656" max="15661" width="11.7109375" style="238" customWidth="1"/>
    <col min="15662" max="15874" width="11.42578125" style="238"/>
    <col min="15875" max="15875" width="33" style="238" customWidth="1"/>
    <col min="15876" max="15886" width="12.7109375" style="238" customWidth="1"/>
    <col min="15887" max="15887" width="16.7109375" style="238" customWidth="1"/>
    <col min="15888" max="15888" width="8.140625" style="238" customWidth="1"/>
    <col min="15889" max="15889" width="16.28515625" style="238" customWidth="1"/>
    <col min="15890" max="15890" width="7.85546875" style="238" customWidth="1"/>
    <col min="15891" max="15891" width="16.28515625" style="238" customWidth="1"/>
    <col min="15892" max="15892" width="8.28515625" style="238" customWidth="1"/>
    <col min="15893" max="15893" width="16.42578125" style="238" customWidth="1"/>
    <col min="15894" max="15894" width="7.28515625" style="238" customWidth="1"/>
    <col min="15895" max="15896" width="7.5703125" style="238" customWidth="1"/>
    <col min="15897" max="15897" width="20.5703125" style="238" customWidth="1"/>
    <col min="15898" max="15898" width="15.28515625" style="238" customWidth="1"/>
    <col min="15899" max="15900" width="7.5703125" style="238" customWidth="1"/>
    <col min="15901" max="15901" width="8" style="238" bestFit="1" customWidth="1"/>
    <col min="15902" max="15902" width="7" style="238" bestFit="1" customWidth="1"/>
    <col min="15903" max="15903" width="7.7109375" style="238" bestFit="1" customWidth="1"/>
    <col min="15904" max="15904" width="8" style="238" bestFit="1" customWidth="1"/>
    <col min="15905" max="15905" width="6.85546875" style="238" customWidth="1"/>
    <col min="15906" max="15906" width="7.85546875" style="238" customWidth="1"/>
    <col min="15907" max="15907" width="6.85546875" style="238" customWidth="1"/>
    <col min="15908" max="15910" width="7.85546875" style="238" customWidth="1"/>
    <col min="15911" max="15911" width="12.140625" style="238" customWidth="1"/>
    <col min="15912" max="15917" width="11.7109375" style="238" customWidth="1"/>
    <col min="15918" max="16130" width="11.42578125" style="238"/>
    <col min="16131" max="16131" width="33" style="238" customWidth="1"/>
    <col min="16132" max="16142" width="12.7109375" style="238" customWidth="1"/>
    <col min="16143" max="16143" width="16.7109375" style="238" customWidth="1"/>
    <col min="16144" max="16144" width="8.140625" style="238" customWidth="1"/>
    <col min="16145" max="16145" width="16.28515625" style="238" customWidth="1"/>
    <col min="16146" max="16146" width="7.85546875" style="238" customWidth="1"/>
    <col min="16147" max="16147" width="16.28515625" style="238" customWidth="1"/>
    <col min="16148" max="16148" width="8.28515625" style="238" customWidth="1"/>
    <col min="16149" max="16149" width="16.42578125" style="238" customWidth="1"/>
    <col min="16150" max="16150" width="7.28515625" style="238" customWidth="1"/>
    <col min="16151" max="16152" width="7.5703125" style="238" customWidth="1"/>
    <col min="16153" max="16153" width="20.5703125" style="238" customWidth="1"/>
    <col min="16154" max="16154" width="15.28515625" style="238" customWidth="1"/>
    <col min="16155" max="16156" width="7.5703125" style="238" customWidth="1"/>
    <col min="16157" max="16157" width="8" style="238" bestFit="1" customWidth="1"/>
    <col min="16158" max="16158" width="7" style="238" bestFit="1" customWidth="1"/>
    <col min="16159" max="16159" width="7.7109375" style="238" bestFit="1" customWidth="1"/>
    <col min="16160" max="16160" width="8" style="238" bestFit="1" customWidth="1"/>
    <col min="16161" max="16161" width="6.85546875" style="238" customWidth="1"/>
    <col min="16162" max="16162" width="7.85546875" style="238" customWidth="1"/>
    <col min="16163" max="16163" width="6.85546875" style="238" customWidth="1"/>
    <col min="16164" max="16166" width="7.85546875" style="238" customWidth="1"/>
    <col min="16167" max="16167" width="12.140625" style="238" customWidth="1"/>
    <col min="16168" max="16173" width="11.7109375" style="238" customWidth="1"/>
    <col min="16174" max="16384" width="11.42578125" style="238"/>
  </cols>
  <sheetData>
    <row r="4" spans="1:46">
      <c r="A4" s="268" t="s">
        <v>67</v>
      </c>
    </row>
    <row r="5" spans="1:46" ht="15.75">
      <c r="A5" s="1208" t="s">
        <v>603</v>
      </c>
      <c r="B5" s="1208"/>
      <c r="C5" s="1208"/>
      <c r="D5" s="1208"/>
      <c r="E5" s="1208"/>
      <c r="F5" s="1208"/>
      <c r="G5" s="1208"/>
      <c r="H5" s="1208"/>
      <c r="I5" s="1208"/>
      <c r="J5" s="1208"/>
      <c r="K5" s="1208"/>
      <c r="L5" s="1208"/>
      <c r="M5" s="1208"/>
      <c r="N5" s="1208"/>
      <c r="O5" s="1208"/>
      <c r="P5" s="1208"/>
    </row>
    <row r="6" spans="1:46" ht="16.5" thickBot="1">
      <c r="A6" s="987"/>
      <c r="B6" s="987"/>
      <c r="C6" s="987"/>
      <c r="D6" s="987"/>
      <c r="E6" s="987"/>
      <c r="F6" s="987"/>
      <c r="G6" s="987"/>
      <c r="H6" s="987"/>
      <c r="I6" s="987"/>
      <c r="J6" s="987"/>
      <c r="K6" s="987"/>
      <c r="L6" s="987"/>
      <c r="M6" s="987"/>
      <c r="N6" s="987"/>
      <c r="O6" s="1209" t="s">
        <v>344</v>
      </c>
      <c r="P6" s="1209"/>
      <c r="Q6" s="1209"/>
      <c r="R6" s="1209"/>
      <c r="S6" s="1209"/>
      <c r="T6" s="1209"/>
      <c r="U6" s="1209"/>
      <c r="V6" s="978"/>
    </row>
    <row r="7" spans="1:46" ht="13.9" customHeight="1" thickBot="1">
      <c r="A7" s="1210" t="s">
        <v>70</v>
      </c>
      <c r="B7" s="1211"/>
      <c r="C7" s="1211"/>
      <c r="D7" s="979"/>
      <c r="E7" s="1214" t="s">
        <v>593</v>
      </c>
      <c r="F7" s="1215"/>
      <c r="G7" s="1215"/>
      <c r="H7" s="1215"/>
      <c r="I7" s="1215"/>
      <c r="J7" s="1215"/>
      <c r="K7" s="1215"/>
      <c r="L7" s="1215"/>
      <c r="M7" s="1006" t="s">
        <v>260</v>
      </c>
      <c r="N7" s="1007" t="s">
        <v>594</v>
      </c>
      <c r="O7" s="475" t="s">
        <v>71</v>
      </c>
      <c r="P7" s="476"/>
      <c r="Q7" s="477" t="s">
        <v>72</v>
      </c>
      <c r="R7" s="991"/>
      <c r="S7" s="477" t="s">
        <v>73</v>
      </c>
      <c r="T7" s="988"/>
      <c r="U7" s="477" t="s">
        <v>191</v>
      </c>
      <c r="V7" s="991"/>
      <c r="W7" s="478"/>
      <c r="Y7" s="477" t="s">
        <v>192</v>
      </c>
      <c r="AB7" s="478"/>
      <c r="AC7" s="1197" t="s">
        <v>345</v>
      </c>
      <c r="AD7" s="1197"/>
      <c r="AE7" s="1197"/>
      <c r="AF7" s="1197"/>
      <c r="AG7" s="1197"/>
      <c r="AH7" s="1197"/>
      <c r="AI7" s="1197"/>
      <c r="AJ7" s="1197"/>
      <c r="AK7" s="1197"/>
      <c r="AL7" s="1197"/>
      <c r="AM7" s="1197"/>
      <c r="AN7" s="1197"/>
      <c r="AO7" s="1197"/>
      <c r="AP7" s="246"/>
      <c r="AQ7" s="246"/>
      <c r="AR7" s="1008"/>
      <c r="AS7" s="239" t="s">
        <v>595</v>
      </c>
      <c r="AT7" s="239" t="s">
        <v>596</v>
      </c>
    </row>
    <row r="8" spans="1:46" ht="13.5" customHeight="1" thickBot="1">
      <c r="A8" s="1212"/>
      <c r="B8" s="1213"/>
      <c r="C8" s="1213"/>
      <c r="D8" s="1009">
        <v>2001</v>
      </c>
      <c r="E8" s="1009">
        <v>2002</v>
      </c>
      <c r="F8" s="1009">
        <v>2003</v>
      </c>
      <c r="G8" s="1009">
        <v>2004</v>
      </c>
      <c r="H8" s="1009">
        <v>2005</v>
      </c>
      <c r="I8" s="1009">
        <v>2006</v>
      </c>
      <c r="J8" s="1009">
        <v>2007</v>
      </c>
      <c r="K8" s="1010">
        <v>2008</v>
      </c>
      <c r="L8" s="1010">
        <v>2009</v>
      </c>
      <c r="M8" s="1010">
        <v>2010</v>
      </c>
      <c r="N8" s="1010">
        <v>2011</v>
      </c>
      <c r="O8" s="479">
        <v>2011</v>
      </c>
      <c r="P8" s="480"/>
      <c r="Q8" s="1198" t="s">
        <v>404</v>
      </c>
      <c r="R8" s="481"/>
      <c r="S8" s="1198" t="s">
        <v>405</v>
      </c>
      <c r="T8" s="482"/>
      <c r="U8" s="1200" t="s">
        <v>74</v>
      </c>
      <c r="V8" s="483"/>
      <c r="W8" s="484"/>
      <c r="Y8" s="1200" t="s">
        <v>406</v>
      </c>
      <c r="AC8" s="1010">
        <v>2002</v>
      </c>
      <c r="AD8" s="1011">
        <v>2003</v>
      </c>
      <c r="AE8" s="1011">
        <v>2004</v>
      </c>
      <c r="AF8" s="1011">
        <v>2005</v>
      </c>
      <c r="AG8" s="1011">
        <v>2006</v>
      </c>
      <c r="AH8" s="1011">
        <v>2007</v>
      </c>
      <c r="AI8" s="1011">
        <v>2008</v>
      </c>
      <c r="AJ8" s="1011">
        <v>2009</v>
      </c>
      <c r="AK8" s="1011">
        <v>2010</v>
      </c>
      <c r="AL8" s="1011">
        <v>2011</v>
      </c>
      <c r="AM8" s="1202" t="s">
        <v>346</v>
      </c>
      <c r="AN8" s="1203"/>
      <c r="AO8" s="1203"/>
      <c r="AP8" s="1203"/>
      <c r="AQ8" s="1204"/>
      <c r="AR8" s="1012"/>
      <c r="AS8" s="1013"/>
    </row>
    <row r="9" spans="1:46" ht="51.75" customHeight="1" thickBot="1">
      <c r="A9" s="1216"/>
      <c r="B9" s="1217"/>
      <c r="C9" s="1217"/>
      <c r="D9" s="980"/>
      <c r="E9" s="980"/>
      <c r="F9" s="485"/>
      <c r="G9" s="485"/>
      <c r="H9" s="486"/>
      <c r="I9" s="487"/>
      <c r="J9" s="487"/>
      <c r="K9" s="488"/>
      <c r="L9" s="488"/>
      <c r="M9" s="488"/>
      <c r="N9" s="489"/>
      <c r="O9" s="490" t="s">
        <v>597</v>
      </c>
      <c r="P9" s="480"/>
      <c r="Q9" s="1199"/>
      <c r="R9" s="481"/>
      <c r="S9" s="1199"/>
      <c r="T9" s="491"/>
      <c r="U9" s="1201"/>
      <c r="V9" s="483"/>
      <c r="W9" s="484"/>
      <c r="Y9" s="1201"/>
      <c r="AC9" s="247"/>
      <c r="AD9" s="247"/>
      <c r="AE9" s="247"/>
      <c r="AF9" s="247"/>
      <c r="AG9" s="247"/>
      <c r="AH9" s="247"/>
      <c r="AI9" s="247"/>
      <c r="AJ9" s="247"/>
      <c r="AK9" s="1014"/>
      <c r="AL9" s="1014"/>
      <c r="AM9" s="1015" t="s">
        <v>598</v>
      </c>
      <c r="AN9" s="1016" t="s">
        <v>599</v>
      </c>
      <c r="AO9" s="1016" t="s">
        <v>600</v>
      </c>
      <c r="AP9" s="1016" t="s">
        <v>601</v>
      </c>
      <c r="AQ9" s="1016" t="s">
        <v>602</v>
      </c>
      <c r="AR9" s="484"/>
      <c r="AS9" s="1017" t="s">
        <v>595</v>
      </c>
      <c r="AT9" s="1017" t="s">
        <v>596</v>
      </c>
    </row>
    <row r="10" spans="1:46">
      <c r="A10" s="1218" t="s">
        <v>75</v>
      </c>
      <c r="B10" s="1219"/>
      <c r="C10" s="1220"/>
      <c r="D10" s="492">
        <v>588.29999999999995</v>
      </c>
      <c r="E10" s="492">
        <v>565.20000000000005</v>
      </c>
      <c r="F10" s="492">
        <v>581.1</v>
      </c>
      <c r="G10" s="492">
        <v>592.9</v>
      </c>
      <c r="H10" s="493">
        <v>621.6</v>
      </c>
      <c r="I10" s="494">
        <v>670.6</v>
      </c>
      <c r="J10" s="494">
        <v>688.8</v>
      </c>
      <c r="K10" s="495">
        <v>719.5</v>
      </c>
      <c r="L10" s="495">
        <v>646.5</v>
      </c>
      <c r="M10" s="495">
        <v>663.29160000000002</v>
      </c>
      <c r="N10" s="496">
        <v>708.40780000000007</v>
      </c>
      <c r="O10" s="497">
        <f>FORECAST($O$8,D10:N10,$D$8:$N$8)</f>
        <v>709.17746363636252</v>
      </c>
      <c r="P10" s="238"/>
      <c r="Q10" s="498">
        <f>+N10*(1+AP10)</f>
        <v>704.74853177143052</v>
      </c>
      <c r="R10" s="491">
        <f>+Q10/$L10-1</f>
        <v>9.0098270334772579E-2</v>
      </c>
      <c r="S10" s="498">
        <f>+N10*(1+AQ10)</f>
        <v>741.55050838540797</v>
      </c>
      <c r="T10" s="491">
        <f>+S10/$M10-1</f>
        <v>0.11798567686581274</v>
      </c>
      <c r="U10" s="499">
        <f>Q10</f>
        <v>704.74853177143052</v>
      </c>
      <c r="V10" s="491">
        <f>+U10/$L10-1</f>
        <v>9.0098270334772579E-2</v>
      </c>
      <c r="W10" s="500"/>
      <c r="Y10" s="499">
        <f>U10/$U$39*$Y$39</f>
        <v>712.14918127249359</v>
      </c>
      <c r="AC10" s="501">
        <f>+E10/D10-1</f>
        <v>-3.9265680775114609E-2</v>
      </c>
      <c r="AD10" s="501">
        <f t="shared" ref="AD10:AK39" si="0">+F10/E10-1</f>
        <v>2.8131634819532847E-2</v>
      </c>
      <c r="AE10" s="501">
        <f t="shared" si="0"/>
        <v>2.0306315608328962E-2</v>
      </c>
      <c r="AF10" s="501">
        <f t="shared" si="0"/>
        <v>4.8406139315230412E-2</v>
      </c>
      <c r="AG10" s="501">
        <f t="shared" si="0"/>
        <v>7.8828828828828801E-2</v>
      </c>
      <c r="AH10" s="501">
        <f t="shared" si="0"/>
        <v>2.7139874739039671E-2</v>
      </c>
      <c r="AI10" s="501">
        <f>+K10/J10-1</f>
        <v>4.4570267131242902E-2</v>
      </c>
      <c r="AJ10" s="501">
        <f>+L10/K10-1</f>
        <v>-0.10145934676858925</v>
      </c>
      <c r="AK10" s="501">
        <f>+M10/L10-1</f>
        <v>2.597308584686786E-2</v>
      </c>
      <c r="AL10" s="501">
        <f>+N10/M10-1</f>
        <v>6.8018651223685112E-2</v>
      </c>
      <c r="AM10" s="501">
        <f>(RATE(10,,-D10,N10))</f>
        <v>1.875193960222183E-2</v>
      </c>
      <c r="AN10" s="501">
        <f>(RATE(5,,-I10,N10))</f>
        <v>1.1029801150922725E-2</v>
      </c>
      <c r="AO10" s="501">
        <f>(RATE(4,,-J10,N10))</f>
        <v>7.0419193935379581E-3</v>
      </c>
      <c r="AP10" s="501">
        <f>(RATE(3,,-K10,N10))</f>
        <v>-5.1654826902944821E-3</v>
      </c>
      <c r="AQ10" s="501">
        <f t="shared" ref="AQ10:AQ39" si="1">(RATE(2,,-L10,N10))</f>
        <v>4.6784787498680654E-2</v>
      </c>
      <c r="AR10" s="491"/>
      <c r="AS10" s="501"/>
    </row>
    <row r="11" spans="1:46">
      <c r="A11" s="1221" t="s">
        <v>76</v>
      </c>
      <c r="B11" s="1222"/>
      <c r="C11" s="1223"/>
      <c r="D11" s="492">
        <v>261</v>
      </c>
      <c r="E11" s="492">
        <v>312.3</v>
      </c>
      <c r="F11" s="492">
        <v>377.8</v>
      </c>
      <c r="G11" s="492">
        <v>379</v>
      </c>
      <c r="H11" s="493">
        <v>375.4</v>
      </c>
      <c r="I11" s="494">
        <v>368.5</v>
      </c>
      <c r="J11" s="494">
        <v>356.2</v>
      </c>
      <c r="K11" s="495">
        <v>412.2</v>
      </c>
      <c r="L11" s="495">
        <v>397</v>
      </c>
      <c r="M11" s="495">
        <v>232.31630000000001</v>
      </c>
      <c r="N11" s="496">
        <v>181.4761</v>
      </c>
      <c r="O11" s="497">
        <f>FORECAST($O$8,D11:N11,$D$8:$N$8)</f>
        <v>304.25593181818112</v>
      </c>
      <c r="P11" s="238"/>
      <c r="Q11" s="498">
        <f>+N11*(1+AP11)</f>
        <v>138.05641371219861</v>
      </c>
      <c r="R11" s="491">
        <f t="shared" ref="R11:R38" si="2">+Q11/$L11-1</f>
        <v>-0.65225084707254766</v>
      </c>
      <c r="S11" s="498">
        <f>+N11*(1+AQ11)</f>
        <v>122.69698834459828</v>
      </c>
      <c r="T11" s="491">
        <f t="shared" ref="T11:T16" si="3">+S11/$M11-1</f>
        <v>-0.47185372552593907</v>
      </c>
      <c r="U11" s="499">
        <f>Q11</f>
        <v>138.05641371219861</v>
      </c>
      <c r="V11" s="491">
        <f t="shared" ref="V11:V38" si="4">+U11/$L11-1</f>
        <v>-0.65225084707254766</v>
      </c>
      <c r="W11" s="500"/>
      <c r="Y11" s="499">
        <f t="shared" ref="Y11:Y36" si="5">U11/$U$39*$Y$39</f>
        <v>139.50616079672196</v>
      </c>
      <c r="AC11" s="501">
        <f t="shared" ref="AC11:AC39" si="6">+E11/D11-1</f>
        <v>0.19655172413793109</v>
      </c>
      <c r="AD11" s="501">
        <f t="shared" si="0"/>
        <v>0.20973422990714052</v>
      </c>
      <c r="AE11" s="501">
        <f t="shared" si="0"/>
        <v>3.1762837480147077E-3</v>
      </c>
      <c r="AF11" s="501">
        <f t="shared" si="0"/>
        <v>-9.498680738786347E-3</v>
      </c>
      <c r="AG11" s="501">
        <f t="shared" si="0"/>
        <v>-1.8380394246137355E-2</v>
      </c>
      <c r="AH11" s="501">
        <v>-3.3000000000000002E-2</v>
      </c>
      <c r="AI11" s="501">
        <f t="shared" si="0"/>
        <v>0.15721504772599659</v>
      </c>
      <c r="AJ11" s="501">
        <f t="shared" si="0"/>
        <v>-3.687530325084909E-2</v>
      </c>
      <c r="AK11" s="501">
        <f>+M11/L11-1</f>
        <v>-0.41482040302266998</v>
      </c>
      <c r="AL11" s="501">
        <f t="shared" ref="AL11:AL38" si="7">+N11/M11-1</f>
        <v>-0.21884043435609124</v>
      </c>
      <c r="AM11" s="501">
        <f t="shared" ref="AM11:AM38" si="8">(RATE(10,,-D11,N11))</f>
        <v>-3.5687285431029496E-2</v>
      </c>
      <c r="AN11" s="501">
        <f t="shared" ref="AN11:AN38" si="9">(RATE(5,,-I11,N11))</f>
        <v>-0.13208660913286924</v>
      </c>
      <c r="AO11" s="501">
        <f t="shared" ref="AO11:AO39" si="10">(RATE(4,,-J11,N11))</f>
        <v>-0.15514655248963777</v>
      </c>
      <c r="AP11" s="501">
        <f t="shared" ref="AP11:AP39" si="11">(RATE(3,,-K11,N11))</f>
        <v>-0.23925842735104727</v>
      </c>
      <c r="AQ11" s="501">
        <f t="shared" si="1"/>
        <v>-0.32389450542193549</v>
      </c>
      <c r="AR11" s="491"/>
      <c r="AS11" s="501"/>
    </row>
    <row r="12" spans="1:46">
      <c r="A12" s="1221" t="s">
        <v>77</v>
      </c>
      <c r="B12" s="1222"/>
      <c r="C12" s="1223"/>
      <c r="D12" s="492">
        <v>75.599999999999994</v>
      </c>
      <c r="E12" s="492">
        <v>89.3</v>
      </c>
      <c r="F12" s="492">
        <v>120.9</v>
      </c>
      <c r="G12" s="492">
        <v>136</v>
      </c>
      <c r="H12" s="493">
        <v>136.1</v>
      </c>
      <c r="I12" s="494">
        <v>159.5</v>
      </c>
      <c r="J12" s="494">
        <v>197.8</v>
      </c>
      <c r="K12" s="495">
        <v>259</v>
      </c>
      <c r="L12" s="495">
        <v>270.8</v>
      </c>
      <c r="M12" s="495">
        <v>290.73379999999997</v>
      </c>
      <c r="N12" s="496">
        <v>353.51089999999999</v>
      </c>
      <c r="O12" s="497">
        <f>FORECAST($O$8,D12:M12,$D$8:$M$8)</f>
        <v>310.4401866666667</v>
      </c>
      <c r="P12" s="238"/>
      <c r="Q12" s="498">
        <f>+N12*(1+AP12)</f>
        <v>392.13640005783111</v>
      </c>
      <c r="R12" s="491">
        <f t="shared" si="2"/>
        <v>0.44806646993290644</v>
      </c>
      <c r="S12" s="498">
        <f>+N12*(1+AQ12)</f>
        <v>403.90560858283925</v>
      </c>
      <c r="T12" s="491">
        <f t="shared" si="3"/>
        <v>0.38926264707728953</v>
      </c>
      <c r="U12" s="499">
        <f>Q12</f>
        <v>392.13640005783111</v>
      </c>
      <c r="V12" s="491">
        <f t="shared" si="4"/>
        <v>0.44806646993290644</v>
      </c>
      <c r="W12" s="500"/>
      <c r="Y12" s="499">
        <f t="shared" si="5"/>
        <v>396.25427178456204</v>
      </c>
      <c r="AC12" s="501">
        <f t="shared" si="6"/>
        <v>0.18121693121693117</v>
      </c>
      <c r="AD12" s="501">
        <f t="shared" si="0"/>
        <v>0.35386338185890276</v>
      </c>
      <c r="AE12" s="501">
        <f t="shared" si="0"/>
        <v>0.12489660876757647</v>
      </c>
      <c r="AF12" s="501">
        <f t="shared" si="0"/>
        <v>7.3529411764705621E-4</v>
      </c>
      <c r="AG12" s="501">
        <f t="shared" si="0"/>
        <v>0.17193240264511389</v>
      </c>
      <c r="AH12" s="501">
        <v>0.22700000000000001</v>
      </c>
      <c r="AI12" s="501">
        <f t="shared" si="0"/>
        <v>0.30940343781597557</v>
      </c>
      <c r="AJ12" s="501">
        <f>+L12/K12-1</f>
        <v>4.5559845559845602E-2</v>
      </c>
      <c r="AK12" s="501">
        <f>+M12/L12-1</f>
        <v>7.3610782865583424E-2</v>
      </c>
      <c r="AL12" s="501">
        <f t="shared" si="7"/>
        <v>0.21592639039561279</v>
      </c>
      <c r="AM12" s="501">
        <f t="shared" si="8"/>
        <v>0.16677764970086309</v>
      </c>
      <c r="AN12" s="501">
        <f t="shared" si="9"/>
        <v>0.17254204436363554</v>
      </c>
      <c r="AO12" s="501">
        <f t="shared" si="10"/>
        <v>0.15622972556718098</v>
      </c>
      <c r="AP12" s="501">
        <f t="shared" si="11"/>
        <v>0.10926254341190365</v>
      </c>
      <c r="AQ12" s="501">
        <f t="shared" si="1"/>
        <v>0.14255489316691292</v>
      </c>
      <c r="AR12" s="491"/>
      <c r="AS12" s="501"/>
    </row>
    <row r="13" spans="1:46" s="268" customFormat="1" ht="13.5" thickBot="1">
      <c r="A13" s="1224" t="s">
        <v>78</v>
      </c>
      <c r="B13" s="1225"/>
      <c r="C13" s="1226"/>
      <c r="D13" s="502">
        <f t="shared" ref="D13:L13" si="12">+D10+D11+D12</f>
        <v>924.9</v>
      </c>
      <c r="E13" s="502">
        <f t="shared" si="12"/>
        <v>966.8</v>
      </c>
      <c r="F13" s="502">
        <f t="shared" si="12"/>
        <v>1079.8000000000002</v>
      </c>
      <c r="G13" s="502">
        <f t="shared" si="12"/>
        <v>1107.9000000000001</v>
      </c>
      <c r="H13" s="502">
        <f t="shared" si="12"/>
        <v>1133.0999999999999</v>
      </c>
      <c r="I13" s="502">
        <f t="shared" si="12"/>
        <v>1198.5999999999999</v>
      </c>
      <c r="J13" s="502">
        <f t="shared" si="12"/>
        <v>1242.8</v>
      </c>
      <c r="K13" s="503">
        <f t="shared" si="12"/>
        <v>1390.7</v>
      </c>
      <c r="L13" s="503">
        <f t="shared" si="12"/>
        <v>1314.3</v>
      </c>
      <c r="M13" s="503">
        <f>+M10+M11+M12</f>
        <v>1186.3416999999999</v>
      </c>
      <c r="N13" s="503">
        <f>+N10+N11+N12</f>
        <v>1243.3948</v>
      </c>
      <c r="O13" s="504">
        <f>SUM(O10:O12)</f>
        <v>1323.8735821212103</v>
      </c>
      <c r="P13" s="505">
        <f>+O13/K13-1</f>
        <v>-4.8052360594513344E-2</v>
      </c>
      <c r="Q13" s="506">
        <f>+Q10+Q11+Q12</f>
        <v>1234.9413455414601</v>
      </c>
      <c r="R13" s="507">
        <f t="shared" si="2"/>
        <v>-6.038092859966504E-2</v>
      </c>
      <c r="S13" s="506">
        <f>+S10+S11+S12</f>
        <v>1268.1531053128456</v>
      </c>
      <c r="T13" s="507">
        <f>+S13/$L13-1</f>
        <v>-3.5111386051247306E-2</v>
      </c>
      <c r="U13" s="506">
        <f>+U10+U11+U12</f>
        <v>1234.9413455414601</v>
      </c>
      <c r="V13" s="507">
        <f t="shared" si="4"/>
        <v>-6.038092859966504E-2</v>
      </c>
      <c r="W13" s="508"/>
      <c r="X13" s="238"/>
      <c r="Y13" s="506">
        <f>U13/$U$39*$Y$39</f>
        <v>1247.9096138537775</v>
      </c>
      <c r="Z13" s="238"/>
      <c r="AA13" s="238"/>
      <c r="AB13" s="238"/>
      <c r="AC13" s="509">
        <f t="shared" si="6"/>
        <v>4.5302194831873699E-2</v>
      </c>
      <c r="AD13" s="509">
        <f t="shared" si="0"/>
        <v>0.11688043028547801</v>
      </c>
      <c r="AE13" s="509">
        <f t="shared" si="0"/>
        <v>2.6023337655121326E-2</v>
      </c>
      <c r="AF13" s="509">
        <f t="shared" si="0"/>
        <v>2.2745735174654502E-2</v>
      </c>
      <c r="AG13" s="509">
        <f t="shared" si="0"/>
        <v>5.7806018886241262E-2</v>
      </c>
      <c r="AH13" s="509">
        <f>+J13/I13-1</f>
        <v>3.6876355748373113E-2</v>
      </c>
      <c r="AI13" s="509">
        <f t="shared" si="0"/>
        <v>0.11900547151593188</v>
      </c>
      <c r="AJ13" s="509">
        <f t="shared" si="0"/>
        <v>-5.4936362982670683E-2</v>
      </c>
      <c r="AK13" s="501">
        <f>+M13/L13-1</f>
        <v>-9.7358517842197401E-2</v>
      </c>
      <c r="AL13" s="501">
        <f t="shared" si="7"/>
        <v>4.809162486659635E-2</v>
      </c>
      <c r="AM13" s="501">
        <f t="shared" si="8"/>
        <v>3.0033682969259227E-2</v>
      </c>
      <c r="AN13" s="501">
        <f t="shared" si="9"/>
        <v>7.3652251671166777E-3</v>
      </c>
      <c r="AO13" s="501">
        <f t="shared" si="10"/>
        <v>1.1962771602620861E-4</v>
      </c>
      <c r="AP13" s="501">
        <f t="shared" si="11"/>
        <v>-3.6632781494828029E-2</v>
      </c>
      <c r="AQ13" s="501">
        <f t="shared" si="1"/>
        <v>-2.7348480848991347E-2</v>
      </c>
      <c r="AR13" s="491"/>
      <c r="AS13" s="501"/>
    </row>
    <row r="14" spans="1:46">
      <c r="A14" s="1205" t="s">
        <v>79</v>
      </c>
      <c r="B14" s="1206"/>
      <c r="C14" s="1207"/>
      <c r="D14" s="510">
        <v>1026.3</v>
      </c>
      <c r="E14" s="510">
        <v>999.4</v>
      </c>
      <c r="F14" s="510">
        <v>965.4</v>
      </c>
      <c r="G14" s="510">
        <v>985.5</v>
      </c>
      <c r="H14" s="511">
        <v>1026.9000000000001</v>
      </c>
      <c r="I14" s="512">
        <v>1066.7</v>
      </c>
      <c r="J14" s="512">
        <v>1126.7</v>
      </c>
      <c r="K14" s="513">
        <v>1170.9000000000001</v>
      </c>
      <c r="L14" s="513">
        <v>1163.9000000000001</v>
      </c>
      <c r="M14" s="513">
        <v>1176.7</v>
      </c>
      <c r="N14" s="514">
        <v>1214.7</v>
      </c>
      <c r="O14" s="515">
        <f>FORECAST($O$8,D14:N14,$D$8:$N$8)</f>
        <v>1207.4318181818235</v>
      </c>
      <c r="P14" s="516"/>
      <c r="Q14" s="517">
        <f>+N14*(1+AP14)</f>
        <v>1229.6611156296178</v>
      </c>
      <c r="R14" s="491">
        <f t="shared" si="2"/>
        <v>5.6500657813916666E-2</v>
      </c>
      <c r="S14" s="517">
        <f>+N14*(1+AQ14)</f>
        <v>1240.9255116831184</v>
      </c>
      <c r="T14" s="491">
        <f>+S14/$M14-1</f>
        <v>5.4581041627533189E-2</v>
      </c>
      <c r="U14" s="517">
        <f>+Q14*(1+W14)</f>
        <v>1235.2683703168886</v>
      </c>
      <c r="V14" s="491">
        <f t="shared" si="4"/>
        <v>6.1318300813548055E-2</v>
      </c>
      <c r="W14" s="518">
        <v>4.5599999999999998E-3</v>
      </c>
      <c r="Y14" s="519">
        <f>U14/$U$39*$Y$39</f>
        <v>1248.2400727558938</v>
      </c>
      <c r="AC14" s="520">
        <f t="shared" si="6"/>
        <v>-2.6210659651174084E-2</v>
      </c>
      <c r="AD14" s="520">
        <f t="shared" si="0"/>
        <v>-3.4020412247348419E-2</v>
      </c>
      <c r="AE14" s="520">
        <f t="shared" si="0"/>
        <v>2.0820385332504632E-2</v>
      </c>
      <c r="AF14" s="520">
        <f t="shared" si="0"/>
        <v>4.2009132420091522E-2</v>
      </c>
      <c r="AG14" s="520">
        <f t="shared" si="0"/>
        <v>3.875742526049275E-2</v>
      </c>
      <c r="AH14" s="520">
        <f>+J14/I14-1</f>
        <v>5.6248242242429969E-2</v>
      </c>
      <c r="AI14" s="520">
        <f t="shared" si="0"/>
        <v>3.9229608591461851E-2</v>
      </c>
      <c r="AJ14" s="520">
        <f t="shared" si="0"/>
        <v>-5.9783072849944885E-3</v>
      </c>
      <c r="AK14" s="1018">
        <f t="shared" si="0"/>
        <v>1.0997508377008192E-2</v>
      </c>
      <c r="AL14" s="1018">
        <f t="shared" si="7"/>
        <v>3.2293702727967943E-2</v>
      </c>
      <c r="AM14" s="1018">
        <f t="shared" si="8"/>
        <v>1.6996528014536594E-2</v>
      </c>
      <c r="AN14" s="1019">
        <f>(RATE(5,,-I14,N14))</f>
        <v>2.6326038328768543E-2</v>
      </c>
      <c r="AO14" s="1018">
        <f t="shared" si="10"/>
        <v>1.897888388301568E-2</v>
      </c>
      <c r="AP14" s="1018">
        <f t="shared" si="11"/>
        <v>1.2316716579911057E-2</v>
      </c>
      <c r="AQ14" s="1018">
        <f t="shared" si="1"/>
        <v>2.1590114170674517E-2</v>
      </c>
      <c r="AR14" s="1020"/>
      <c r="AS14" s="1018">
        <f>(RATE(K8-G8,,-G14,K14))</f>
        <v>4.4036769915160229E-2</v>
      </c>
      <c r="AT14" s="1018">
        <f>(RATE(H8-D8,,-D14,H14))</f>
        <v>1.4612406785982469E-4</v>
      </c>
    </row>
    <row r="15" spans="1:46">
      <c r="A15" s="1221" t="s">
        <v>80</v>
      </c>
      <c r="B15" s="1222"/>
      <c r="C15" s="1223"/>
      <c r="D15" s="492">
        <v>357</v>
      </c>
      <c r="E15" s="492">
        <v>381.5</v>
      </c>
      <c r="F15" s="492">
        <v>387</v>
      </c>
      <c r="G15" s="492">
        <v>410.6</v>
      </c>
      <c r="H15" s="493">
        <v>433.4</v>
      </c>
      <c r="I15" s="494">
        <v>447.6</v>
      </c>
      <c r="J15" s="494">
        <v>484.3</v>
      </c>
      <c r="K15" s="495">
        <v>502.9</v>
      </c>
      <c r="L15" s="495">
        <v>540.5</v>
      </c>
      <c r="M15" s="495">
        <v>575.20579999999995</v>
      </c>
      <c r="N15" s="496">
        <v>610.72050000000002</v>
      </c>
      <c r="O15" s="497">
        <f>FORECAST($O$8,D15:N15,$D$8:$N$8)</f>
        <v>590.94901363636745</v>
      </c>
      <c r="P15" s="238"/>
      <c r="Q15" s="498">
        <f>+N15*(1+AP15)</f>
        <v>651.57255897606763</v>
      </c>
      <c r="R15" s="491">
        <f t="shared" si="2"/>
        <v>0.20549964657921849</v>
      </c>
      <c r="S15" s="498">
        <f>+N15*(1+AQ15)</f>
        <v>649.1811458006722</v>
      </c>
      <c r="T15" s="491">
        <f>+S15/$M15-1</f>
        <v>0.12860674527390414</v>
      </c>
      <c r="U15" s="499">
        <f>+Q15</f>
        <v>651.57255897606763</v>
      </c>
      <c r="V15" s="491">
        <f t="shared" si="4"/>
        <v>0.20549964657921849</v>
      </c>
      <c r="W15" s="500"/>
      <c r="Y15" s="499">
        <f t="shared" si="5"/>
        <v>658.4148011604849</v>
      </c>
      <c r="AC15" s="501">
        <f t="shared" si="6"/>
        <v>6.8627450980392135E-2</v>
      </c>
      <c r="AD15" s="501">
        <f t="shared" si="0"/>
        <v>1.4416775884665833E-2</v>
      </c>
      <c r="AE15" s="501">
        <f t="shared" si="0"/>
        <v>6.0981912144702832E-2</v>
      </c>
      <c r="AF15" s="501">
        <f t="shared" si="0"/>
        <v>5.5528494885533242E-2</v>
      </c>
      <c r="AG15" s="501">
        <f t="shared" si="0"/>
        <v>3.2764190124596304E-2</v>
      </c>
      <c r="AH15" s="501">
        <v>9.1999999999999998E-2</v>
      </c>
      <c r="AI15" s="501">
        <f t="shared" si="0"/>
        <v>3.8405946727235074E-2</v>
      </c>
      <c r="AJ15" s="501">
        <f t="shared" si="0"/>
        <v>7.4766355140186924E-2</v>
      </c>
      <c r="AK15" s="501">
        <f t="shared" si="0"/>
        <v>6.4210545790934326E-2</v>
      </c>
      <c r="AL15" s="501">
        <f t="shared" si="7"/>
        <v>6.1742597171308145E-2</v>
      </c>
      <c r="AM15" s="501">
        <f t="shared" si="8"/>
        <v>5.5157835231216007E-2</v>
      </c>
      <c r="AN15" s="501">
        <f t="shared" si="9"/>
        <v>6.4119701767629406E-2</v>
      </c>
      <c r="AO15" s="501">
        <f t="shared" si="10"/>
        <v>5.9697737939924986E-2</v>
      </c>
      <c r="AP15" s="501">
        <f t="shared" si="11"/>
        <v>6.6891579660528208E-2</v>
      </c>
      <c r="AQ15" s="501">
        <f t="shared" si="1"/>
        <v>6.2975855240936213E-2</v>
      </c>
      <c r="AR15" s="491"/>
      <c r="AS15" s="501"/>
    </row>
    <row r="16" spans="1:46">
      <c r="A16" s="1221" t="s">
        <v>81</v>
      </c>
      <c r="B16" s="1222"/>
      <c r="C16" s="1223"/>
      <c r="D16" s="492">
        <v>394.1</v>
      </c>
      <c r="E16" s="492">
        <v>365.4</v>
      </c>
      <c r="F16" s="492">
        <v>491</v>
      </c>
      <c r="G16" s="492">
        <v>561.6</v>
      </c>
      <c r="H16" s="493">
        <v>566.79999999999995</v>
      </c>
      <c r="I16" s="494">
        <v>671.2</v>
      </c>
      <c r="J16" s="494">
        <v>819.3</v>
      </c>
      <c r="K16" s="495">
        <v>1075</v>
      </c>
      <c r="L16" s="495">
        <v>1124.7</v>
      </c>
      <c r="M16" s="495">
        <v>1205.8759</v>
      </c>
      <c r="N16" s="496">
        <v>1437.3512000000001</v>
      </c>
      <c r="O16" s="497">
        <f>FORECAST($O$8,D16:N16,$D$8:$N$8)</f>
        <v>1326.5097181818273</v>
      </c>
      <c r="P16" s="238"/>
      <c r="Q16" s="498">
        <f>+N16*(1+AP16)</f>
        <v>1583.4865290025796</v>
      </c>
      <c r="R16" s="491">
        <f>+Q16/$L16-1</f>
        <v>0.40791902640933531</v>
      </c>
      <c r="S16" s="498">
        <f>+N16*(1+AQ16)</f>
        <v>1624.8975964359799</v>
      </c>
      <c r="T16" s="491">
        <f t="shared" si="3"/>
        <v>0.3474832662598033</v>
      </c>
      <c r="U16" s="499">
        <f>+Q16</f>
        <v>1583.4865290025796</v>
      </c>
      <c r="V16" s="491">
        <f t="shared" si="4"/>
        <v>0.40791902640933531</v>
      </c>
      <c r="W16" s="500"/>
      <c r="Y16" s="499">
        <f t="shared" si="5"/>
        <v>1600.1149124081428</v>
      </c>
      <c r="AC16" s="501">
        <f t="shared" si="6"/>
        <v>-7.2824156305506316E-2</v>
      </c>
      <c r="AD16" s="501">
        <f t="shared" si="0"/>
        <v>0.34373289545703356</v>
      </c>
      <c r="AE16" s="501">
        <f t="shared" si="0"/>
        <v>0.14378818737270871</v>
      </c>
      <c r="AF16" s="501">
        <f t="shared" si="0"/>
        <v>9.2592592592590783E-3</v>
      </c>
      <c r="AG16" s="501">
        <f>+I16/H16-1</f>
        <v>0.18419195483415685</v>
      </c>
      <c r="AH16" s="501">
        <v>0.20499999999999999</v>
      </c>
      <c r="AI16" s="501">
        <f t="shared" si="0"/>
        <v>0.31209569144391569</v>
      </c>
      <c r="AJ16" s="501">
        <f t="shared" si="0"/>
        <v>4.6232558139534863E-2</v>
      </c>
      <c r="AK16" s="501">
        <f t="shared" si="0"/>
        <v>7.2175602382857695E-2</v>
      </c>
      <c r="AL16" s="501">
        <f t="shared" si="7"/>
        <v>0.1919561540287853</v>
      </c>
      <c r="AM16" s="501">
        <f t="shared" si="8"/>
        <v>0.13813989304030863</v>
      </c>
      <c r="AN16" s="501">
        <f t="shared" si="9"/>
        <v>0.16450723096277176</v>
      </c>
      <c r="AO16" s="501">
        <f t="shared" si="10"/>
        <v>0.1508798470983444</v>
      </c>
      <c r="AP16" s="501">
        <f t="shared" si="11"/>
        <v>0.1016698834652098</v>
      </c>
      <c r="AQ16" s="501">
        <f t="shared" si="1"/>
        <v>0.13048056483062737</v>
      </c>
      <c r="AR16" s="491"/>
      <c r="AS16" s="501"/>
    </row>
    <row r="17" spans="1:45">
      <c r="A17" s="1221" t="s">
        <v>82</v>
      </c>
      <c r="B17" s="1222"/>
      <c r="C17" s="1223"/>
      <c r="D17" s="492">
        <v>1767.5</v>
      </c>
      <c r="E17" s="492">
        <v>1803.2</v>
      </c>
      <c r="F17" s="492">
        <v>1999</v>
      </c>
      <c r="G17" s="492">
        <v>2296.3000000000002</v>
      </c>
      <c r="H17" s="493">
        <v>2567.9</v>
      </c>
      <c r="I17" s="494">
        <v>2920.9</v>
      </c>
      <c r="J17" s="494">
        <v>3417.5</v>
      </c>
      <c r="K17" s="495">
        <v>3945.8</v>
      </c>
      <c r="L17" s="495">
        <v>4269</v>
      </c>
      <c r="M17" s="495">
        <v>4890.0835999999999</v>
      </c>
      <c r="N17" s="496">
        <v>5578.7956871036886</v>
      </c>
      <c r="O17" s="497">
        <f>FORECAST($O$8,D17:N17,$D$8:$N$8)</f>
        <v>5148.8441549874842</v>
      </c>
      <c r="P17" s="238"/>
      <c r="Q17" s="498">
        <f>+N17*(1+AP17)</f>
        <v>6261.4596437543887</v>
      </c>
      <c r="R17" s="491">
        <f t="shared" si="2"/>
        <v>0.46672748741025738</v>
      </c>
      <c r="S17" s="498">
        <f>+N17*(1+AQ17)</f>
        <v>6377.4580023961034</v>
      </c>
      <c r="T17" s="491">
        <f>+S17/$M17-1</f>
        <v>0.30416134448010324</v>
      </c>
      <c r="U17" s="519">
        <f>+Q17*(1+W17)</f>
        <v>6015.3842797548414</v>
      </c>
      <c r="V17" s="491">
        <f t="shared" si="4"/>
        <v>0.40908509715503438</v>
      </c>
      <c r="W17" s="518">
        <v>-3.9300000000000002E-2</v>
      </c>
      <c r="Y17" s="519">
        <f t="shared" si="5"/>
        <v>6078.5525570363452</v>
      </c>
      <c r="AC17" s="501">
        <f t="shared" si="6"/>
        <v>2.0198019801980216E-2</v>
      </c>
      <c r="AD17" s="501">
        <f t="shared" si="0"/>
        <v>0.10858473824312331</v>
      </c>
      <c r="AE17" s="501">
        <f t="shared" si="0"/>
        <v>0.14872436218109053</v>
      </c>
      <c r="AF17" s="501">
        <f t="shared" si="0"/>
        <v>0.11827722858511525</v>
      </c>
      <c r="AG17" s="501">
        <f t="shared" si="0"/>
        <v>0.13746641224346745</v>
      </c>
      <c r="AH17" s="501">
        <v>0.17299999999999999</v>
      </c>
      <c r="AI17" s="501">
        <f t="shared" si="0"/>
        <v>0.15458668617410387</v>
      </c>
      <c r="AJ17" s="501">
        <f t="shared" si="0"/>
        <v>8.1909878858533069E-2</v>
      </c>
      <c r="AK17" s="501">
        <f t="shared" si="0"/>
        <v>0.14548690559850086</v>
      </c>
      <c r="AL17" s="501">
        <f t="shared" si="7"/>
        <v>0.14083850981682366</v>
      </c>
      <c r="AM17" s="501">
        <f t="shared" si="8"/>
        <v>0.12180689086900812</v>
      </c>
      <c r="AN17" s="501">
        <f t="shared" si="9"/>
        <v>0.13816376086085011</v>
      </c>
      <c r="AO17" s="501">
        <f t="shared" si="10"/>
        <v>0.13033710268982926</v>
      </c>
      <c r="AP17" s="501">
        <f t="shared" si="11"/>
        <v>0.12236762106717607</v>
      </c>
      <c r="AQ17" s="501">
        <f t="shared" si="1"/>
        <v>0.1431603450075534</v>
      </c>
      <c r="AR17" s="491"/>
      <c r="AS17" s="501"/>
    </row>
    <row r="18" spans="1:45" s="268" customFormat="1" ht="13.5" thickBot="1">
      <c r="A18" s="1224" t="s">
        <v>347</v>
      </c>
      <c r="B18" s="1225"/>
      <c r="C18" s="1226"/>
      <c r="D18" s="502">
        <f t="shared" ref="D18:N18" si="13">+D14+D15+D16+D17</f>
        <v>3544.9</v>
      </c>
      <c r="E18" s="502">
        <f t="shared" si="13"/>
        <v>3549.5</v>
      </c>
      <c r="F18" s="521">
        <f t="shared" si="13"/>
        <v>3842.4</v>
      </c>
      <c r="G18" s="522">
        <f t="shared" si="13"/>
        <v>4254</v>
      </c>
      <c r="H18" s="522">
        <f t="shared" si="13"/>
        <v>4595</v>
      </c>
      <c r="I18" s="522">
        <f t="shared" si="13"/>
        <v>5106.3999999999996</v>
      </c>
      <c r="J18" s="522">
        <f t="shared" si="13"/>
        <v>5847.8</v>
      </c>
      <c r="K18" s="503">
        <f t="shared" si="13"/>
        <v>6694.6</v>
      </c>
      <c r="L18" s="503">
        <f t="shared" si="13"/>
        <v>7098.1</v>
      </c>
      <c r="M18" s="503">
        <f t="shared" si="13"/>
        <v>7847.8652999999995</v>
      </c>
      <c r="N18" s="503">
        <f t="shared" si="13"/>
        <v>8841.5673871036888</v>
      </c>
      <c r="O18" s="504">
        <f>SUM(O14:O17)</f>
        <v>8273.7347049875025</v>
      </c>
      <c r="P18" s="505">
        <f>+O18/K18-1</f>
        <v>0.23588186075157624</v>
      </c>
      <c r="Q18" s="506">
        <f>+Q14+Q15+Q16+Q17</f>
        <v>9726.1798473626532</v>
      </c>
      <c r="R18" s="507">
        <f t="shared" si="2"/>
        <v>0.37025117247751549</v>
      </c>
      <c r="S18" s="506">
        <f>+S14+S15+S16+S17</f>
        <v>9892.4622563158737</v>
      </c>
      <c r="T18" s="507">
        <f>+S18/$L18-1</f>
        <v>0.39367749909354233</v>
      </c>
      <c r="U18" s="506">
        <f>+U14+U15+U16+U17</f>
        <v>9485.7117380503769</v>
      </c>
      <c r="V18" s="507">
        <f t="shared" si="4"/>
        <v>0.33637335879325114</v>
      </c>
      <c r="W18" s="508"/>
      <c r="X18" s="238"/>
      <c r="Y18" s="506">
        <f t="shared" si="5"/>
        <v>9585.3223433608673</v>
      </c>
      <c r="Z18" s="238"/>
      <c r="AA18" s="238"/>
      <c r="AB18" s="238"/>
      <c r="AC18" s="509">
        <f t="shared" si="6"/>
        <v>1.2976388614629464E-3</v>
      </c>
      <c r="AD18" s="509">
        <f t="shared" si="0"/>
        <v>8.251866460064794E-2</v>
      </c>
      <c r="AE18" s="509">
        <f t="shared" si="0"/>
        <v>0.10712054965646467</v>
      </c>
      <c r="AF18" s="509">
        <f t="shared" si="0"/>
        <v>8.0159849553361529E-2</v>
      </c>
      <c r="AG18" s="509">
        <f t="shared" si="0"/>
        <v>0.11129488574537527</v>
      </c>
      <c r="AH18" s="509">
        <f>+J18/I18-1</f>
        <v>0.14519034936550224</v>
      </c>
      <c r="AI18" s="509">
        <f t="shared" si="0"/>
        <v>0.14480659393276096</v>
      </c>
      <c r="AJ18" s="509">
        <f t="shared" si="0"/>
        <v>6.0272458399306839E-2</v>
      </c>
      <c r="AK18" s="509">
        <f t="shared" si="0"/>
        <v>0.10562901339795139</v>
      </c>
      <c r="AL18" s="509">
        <f t="shared" si="7"/>
        <v>0.12662068589577968</v>
      </c>
      <c r="AM18" s="509">
        <f t="shared" si="8"/>
        <v>9.570218395498338E-2</v>
      </c>
      <c r="AN18" s="509">
        <f t="shared" si="9"/>
        <v>0.11604803198009324</v>
      </c>
      <c r="AO18" s="509">
        <f t="shared" si="10"/>
        <v>0.10887907334763237</v>
      </c>
      <c r="AP18" s="509">
        <f t="shared" si="11"/>
        <v>9.7155562706733367E-2</v>
      </c>
      <c r="AQ18" s="509">
        <f t="shared" si="1"/>
        <v>0.11607549808275709</v>
      </c>
      <c r="AR18" s="1021"/>
      <c r="AS18" s="1022"/>
    </row>
    <row r="19" spans="1:45">
      <c r="A19" s="1227" t="s">
        <v>84</v>
      </c>
      <c r="B19" s="1228"/>
      <c r="C19" s="1229"/>
      <c r="D19" s="492">
        <v>1703.5</v>
      </c>
      <c r="E19" s="492">
        <v>1668.1</v>
      </c>
      <c r="F19" s="492">
        <v>1686.8</v>
      </c>
      <c r="G19" s="492">
        <v>1881.9</v>
      </c>
      <c r="H19" s="493">
        <v>2047.4</v>
      </c>
      <c r="I19" s="494">
        <v>2274</v>
      </c>
      <c r="J19" s="494">
        <v>2517.6999999999998</v>
      </c>
      <c r="K19" s="495">
        <v>2695.2</v>
      </c>
      <c r="L19" s="495">
        <v>2737.5</v>
      </c>
      <c r="M19" s="495">
        <v>3009.4727395135942</v>
      </c>
      <c r="N19" s="496">
        <v>3443.7141371068365</v>
      </c>
      <c r="O19" s="497">
        <f t="shared" ref="O19:O24" si="14">FORECAST($O$8,D19:N19,$D$8:$N$8)</f>
        <v>3211.1879725831677</v>
      </c>
      <c r="P19" s="238"/>
      <c r="Q19" s="498">
        <f t="shared" ref="Q19:Q24" si="15">+N19*(1+AP19)</f>
        <v>3736.8510900070009</v>
      </c>
      <c r="R19" s="491">
        <f t="shared" si="2"/>
        <v>0.36505975890666709</v>
      </c>
      <c r="S19" s="498">
        <f t="shared" ref="S19:S24" si="16">+N19*(1+AQ19)</f>
        <v>3862.4562772929085</v>
      </c>
      <c r="T19" s="491">
        <f t="shared" ref="T19:T24" si="17">+S19/$M19-1</f>
        <v>0.28343288396663713</v>
      </c>
      <c r="U19" s="499">
        <f>+Q19</f>
        <v>3736.8510900070009</v>
      </c>
      <c r="V19" s="491">
        <f t="shared" si="4"/>
        <v>0.36505975890666709</v>
      </c>
      <c r="W19" s="500"/>
      <c r="Y19" s="499">
        <f t="shared" si="5"/>
        <v>3776.0922149019962</v>
      </c>
      <c r="AC19" s="501">
        <f t="shared" si="6"/>
        <v>-2.0780745523921396E-2</v>
      </c>
      <c r="AD19" s="501">
        <f t="shared" si="0"/>
        <v>1.1210359091181621E-2</v>
      </c>
      <c r="AE19" s="501">
        <f t="shared" si="0"/>
        <v>0.11566279345506292</v>
      </c>
      <c r="AF19" s="501">
        <f t="shared" si="0"/>
        <v>8.7943036293107957E-2</v>
      </c>
      <c r="AG19" s="501">
        <f t="shared" si="0"/>
        <v>0.11067695613949402</v>
      </c>
      <c r="AH19" s="501">
        <v>8.4000000000000005E-2</v>
      </c>
      <c r="AI19" s="501">
        <f t="shared" si="0"/>
        <v>7.0500853954005738E-2</v>
      </c>
      <c r="AJ19" s="501">
        <f>+L19/K19-1</f>
        <v>1.5694568121104258E-2</v>
      </c>
      <c r="AK19" s="501">
        <f>+M19/L19-1</f>
        <v>9.9350772425057299E-2</v>
      </c>
      <c r="AL19" s="501">
        <f t="shared" si="7"/>
        <v>0.14429152053506433</v>
      </c>
      <c r="AM19" s="501">
        <f t="shared" si="8"/>
        <v>7.2922852502018173E-2</v>
      </c>
      <c r="AN19" s="501">
        <f t="shared" si="9"/>
        <v>8.6544021755687692E-2</v>
      </c>
      <c r="AO19" s="501">
        <f t="shared" si="10"/>
        <v>8.1448340132782196E-2</v>
      </c>
      <c r="AP19" s="501">
        <f t="shared" si="11"/>
        <v>8.5122324684718795E-2</v>
      </c>
      <c r="AQ19" s="501">
        <f t="shared" si="1"/>
        <v>0.12159608013743835</v>
      </c>
      <c r="AR19" s="491"/>
      <c r="AS19" s="501"/>
    </row>
    <row r="20" spans="1:45">
      <c r="A20" s="1221" t="s">
        <v>85</v>
      </c>
      <c r="B20" s="1222"/>
      <c r="C20" s="1223"/>
      <c r="D20" s="492">
        <v>259.2</v>
      </c>
      <c r="E20" s="492">
        <v>277.39999999999998</v>
      </c>
      <c r="F20" s="492">
        <v>306.2</v>
      </c>
      <c r="G20" s="492">
        <v>347.6</v>
      </c>
      <c r="H20" s="493">
        <v>386.1</v>
      </c>
      <c r="I20" s="494">
        <v>433.2</v>
      </c>
      <c r="J20" s="494">
        <v>494.9</v>
      </c>
      <c r="K20" s="495">
        <v>535.9</v>
      </c>
      <c r="L20" s="495">
        <v>549.70000000000005</v>
      </c>
      <c r="M20" s="495">
        <v>607.02699999999993</v>
      </c>
      <c r="N20" s="496">
        <v>663.98419999999999</v>
      </c>
      <c r="O20" s="497">
        <f t="shared" si="14"/>
        <v>649.1250636363693</v>
      </c>
      <c r="P20" s="238"/>
      <c r="Q20" s="498">
        <f t="shared" si="15"/>
        <v>713.15249808364536</v>
      </c>
      <c r="R20" s="491">
        <f t="shared" si="2"/>
        <v>0.29734855027041163</v>
      </c>
      <c r="S20" s="498">
        <f t="shared" si="16"/>
        <v>729.74940441578053</v>
      </c>
      <c r="T20" s="491">
        <f t="shared" si="17"/>
        <v>0.2021695977539395</v>
      </c>
      <c r="U20" s="499">
        <f>+Q20</f>
        <v>713.15249808364536</v>
      </c>
      <c r="V20" s="491">
        <f t="shared" si="4"/>
        <v>0.29734855027041163</v>
      </c>
      <c r="W20" s="500"/>
      <c r="Y20" s="499">
        <f t="shared" si="5"/>
        <v>720.64139865057325</v>
      </c>
      <c r="AC20" s="501">
        <f t="shared" si="6"/>
        <v>7.0216049382715973E-2</v>
      </c>
      <c r="AD20" s="501">
        <f t="shared" si="0"/>
        <v>0.10382119682768565</v>
      </c>
      <c r="AE20" s="501">
        <f t="shared" si="0"/>
        <v>0.13520574787720463</v>
      </c>
      <c r="AF20" s="501">
        <f t="shared" si="0"/>
        <v>0.110759493670886</v>
      </c>
      <c r="AG20" s="501">
        <f t="shared" si="0"/>
        <v>0.12198912198912182</v>
      </c>
      <c r="AH20" s="501">
        <v>0.14000000000000001</v>
      </c>
      <c r="AI20" s="501">
        <f t="shared" si="0"/>
        <v>8.2845019195797232E-2</v>
      </c>
      <c r="AJ20" s="501">
        <f t="shared" si="0"/>
        <v>2.5751072961373467E-2</v>
      </c>
      <c r="AK20" s="501">
        <f t="shared" si="0"/>
        <v>0.1042877933418227</v>
      </c>
      <c r="AL20" s="501">
        <f t="shared" si="7"/>
        <v>9.3829763750212125E-2</v>
      </c>
      <c r="AM20" s="501">
        <f t="shared" si="8"/>
        <v>9.8632076322198239E-2</v>
      </c>
      <c r="AN20" s="501">
        <f t="shared" si="9"/>
        <v>8.9165457615050792E-2</v>
      </c>
      <c r="AO20" s="501">
        <f t="shared" si="10"/>
        <v>7.6242338477861216E-2</v>
      </c>
      <c r="AP20" s="501">
        <f t="shared" si="11"/>
        <v>7.4050403734976594E-2</v>
      </c>
      <c r="AQ20" s="501">
        <f t="shared" si="1"/>
        <v>9.9046339379431927E-2</v>
      </c>
      <c r="AR20" s="491"/>
      <c r="AS20" s="501"/>
    </row>
    <row r="21" spans="1:45">
      <c r="A21" s="1221" t="s">
        <v>86</v>
      </c>
      <c r="B21" s="1222"/>
      <c r="C21" s="1223"/>
      <c r="D21" s="492">
        <v>1090.4000000000001</v>
      </c>
      <c r="E21" s="492">
        <v>1011.9</v>
      </c>
      <c r="F21" s="492">
        <v>939.4</v>
      </c>
      <c r="G21" s="492">
        <v>887</v>
      </c>
      <c r="H21" s="493">
        <v>1032.4000000000001</v>
      </c>
      <c r="I21" s="494">
        <v>1187.0999999999999</v>
      </c>
      <c r="J21" s="494">
        <v>1414.7</v>
      </c>
      <c r="K21" s="495">
        <v>1614.6</v>
      </c>
      <c r="L21" s="495">
        <v>1661.4</v>
      </c>
      <c r="M21" s="495">
        <v>1754.5814</v>
      </c>
      <c r="N21" s="496">
        <v>1886.4569999999999</v>
      </c>
      <c r="O21" s="497">
        <f t="shared" si="14"/>
        <v>1814.2903363636287</v>
      </c>
      <c r="P21" s="501"/>
      <c r="Q21" s="498">
        <f t="shared" si="15"/>
        <v>1986.8918623420739</v>
      </c>
      <c r="R21" s="491">
        <f t="shared" si="2"/>
        <v>0.19591420629714329</v>
      </c>
      <c r="S21" s="498">
        <f t="shared" si="16"/>
        <v>2010.1721993760491</v>
      </c>
      <c r="T21" s="491">
        <f t="shared" si="17"/>
        <v>0.1456705282388433</v>
      </c>
      <c r="U21" s="519">
        <f>+Q21*$W$21</f>
        <v>2145.8432113294398</v>
      </c>
      <c r="V21" s="491">
        <f t="shared" si="4"/>
        <v>0.29158734280091458</v>
      </c>
      <c r="W21" s="518">
        <v>1.08</v>
      </c>
      <c r="Y21" s="519">
        <f t="shared" si="5"/>
        <v>2168.3769702169793</v>
      </c>
      <c r="AC21" s="501">
        <f t="shared" si="6"/>
        <v>-7.1991929567131407E-2</v>
      </c>
      <c r="AD21" s="501">
        <f t="shared" si="0"/>
        <v>-7.1647395987745832E-2</v>
      </c>
      <c r="AE21" s="501">
        <f t="shared" si="0"/>
        <v>-5.5780285288482001E-2</v>
      </c>
      <c r="AF21" s="501">
        <f t="shared" si="0"/>
        <v>0.16392333709131912</v>
      </c>
      <c r="AG21" s="501">
        <f t="shared" si="0"/>
        <v>0.14984502130956967</v>
      </c>
      <c r="AH21" s="501">
        <v>0.193</v>
      </c>
      <c r="AI21" s="501">
        <f t="shared" si="0"/>
        <v>0.14130204283593684</v>
      </c>
      <c r="AJ21" s="501">
        <f t="shared" si="0"/>
        <v>2.898550724637694E-2</v>
      </c>
      <c r="AK21" s="501">
        <f t="shared" si="0"/>
        <v>5.6086071987480501E-2</v>
      </c>
      <c r="AL21" s="501">
        <f t="shared" si="7"/>
        <v>7.5160719246197383E-2</v>
      </c>
      <c r="AM21" s="501">
        <f t="shared" si="8"/>
        <v>5.6345792311559964E-2</v>
      </c>
      <c r="AN21" s="501">
        <f t="shared" si="9"/>
        <v>9.7063891598326624E-2</v>
      </c>
      <c r="AO21" s="501">
        <f t="shared" si="10"/>
        <v>7.4597038111838487E-2</v>
      </c>
      <c r="AP21" s="501">
        <f t="shared" si="11"/>
        <v>5.3239942570688863E-2</v>
      </c>
      <c r="AQ21" s="501">
        <f t="shared" si="1"/>
        <v>6.5580715264673017E-2</v>
      </c>
      <c r="AR21" s="491"/>
      <c r="AS21" s="501"/>
    </row>
    <row r="22" spans="1:45">
      <c r="A22" s="1221" t="s">
        <v>87</v>
      </c>
      <c r="B22" s="1222"/>
      <c r="C22" s="1223"/>
      <c r="D22" s="492">
        <v>690.5</v>
      </c>
      <c r="E22" s="492">
        <v>717.5</v>
      </c>
      <c r="F22" s="492">
        <v>753.9</v>
      </c>
      <c r="G22" s="492">
        <v>834.9</v>
      </c>
      <c r="H22" s="493">
        <v>899</v>
      </c>
      <c r="I22" s="494">
        <v>947.4</v>
      </c>
      <c r="J22" s="494">
        <v>1039.8</v>
      </c>
      <c r="K22" s="495">
        <v>1076.7</v>
      </c>
      <c r="L22" s="495">
        <v>1050.8</v>
      </c>
      <c r="M22" s="495">
        <v>1108.3922206911732</v>
      </c>
      <c r="N22" s="496">
        <v>1208.6253069941029</v>
      </c>
      <c r="O22" s="497">
        <f t="shared" si="14"/>
        <v>1196.5604760502756</v>
      </c>
      <c r="P22" s="505"/>
      <c r="Q22" s="498">
        <f t="shared" si="15"/>
        <v>1256.0993967893216</v>
      </c>
      <c r="R22" s="491">
        <f t="shared" si="2"/>
        <v>0.19537437836821625</v>
      </c>
      <c r="S22" s="498">
        <f t="shared" si="16"/>
        <v>1296.2163442911515</v>
      </c>
      <c r="T22" s="491">
        <f t="shared" si="17"/>
        <v>0.16945637121384216</v>
      </c>
      <c r="U22" s="499">
        <f>+Q22</f>
        <v>1256.0993967893216</v>
      </c>
      <c r="V22" s="491">
        <f t="shared" si="4"/>
        <v>0.19537437836821625</v>
      </c>
      <c r="W22" s="500"/>
      <c r="Y22" s="499">
        <f t="shared" si="5"/>
        <v>1269.2898483547453</v>
      </c>
      <c r="AC22" s="501">
        <f t="shared" si="6"/>
        <v>3.9102099927588618E-2</v>
      </c>
      <c r="AD22" s="501">
        <f t="shared" si="0"/>
        <v>5.0731707317073216E-2</v>
      </c>
      <c r="AE22" s="501">
        <f t="shared" si="0"/>
        <v>0.10744130521289286</v>
      </c>
      <c r="AF22" s="501">
        <f t="shared" si="0"/>
        <v>7.6775661755899005E-2</v>
      </c>
      <c r="AG22" s="501">
        <f t="shared" si="0"/>
        <v>5.3837597330367082E-2</v>
      </c>
      <c r="AH22" s="501">
        <v>7.1999999999999995E-2</v>
      </c>
      <c r="AI22" s="501">
        <f t="shared" si="0"/>
        <v>3.5487593768032344E-2</v>
      </c>
      <c r="AJ22" s="523">
        <f t="shared" si="0"/>
        <v>-2.4054982817869552E-2</v>
      </c>
      <c r="AK22" s="523">
        <f t="shared" si="0"/>
        <v>5.4807975534043818E-2</v>
      </c>
      <c r="AL22" s="523">
        <f t="shared" si="7"/>
        <v>9.0431062607446044E-2</v>
      </c>
      <c r="AM22" s="523">
        <f t="shared" si="8"/>
        <v>5.7578954900528584E-2</v>
      </c>
      <c r="AN22" s="523">
        <f t="shared" si="9"/>
        <v>4.9909004951774499E-2</v>
      </c>
      <c r="AO22" s="523">
        <f t="shared" si="10"/>
        <v>3.8330156705749047E-2</v>
      </c>
      <c r="AP22" s="523">
        <f t="shared" si="11"/>
        <v>3.9279410682942488E-2</v>
      </c>
      <c r="AQ22" s="523">
        <f t="shared" si="1"/>
        <v>7.2471622752042789E-2</v>
      </c>
      <c r="AR22" s="1023"/>
      <c r="AS22" s="523"/>
    </row>
    <row r="23" spans="1:45">
      <c r="A23" s="1221" t="s">
        <v>88</v>
      </c>
      <c r="B23" s="1222"/>
      <c r="C23" s="1223"/>
      <c r="D23" s="492">
        <v>82.4</v>
      </c>
      <c r="E23" s="492">
        <v>84.8</v>
      </c>
      <c r="F23" s="492">
        <v>88.7</v>
      </c>
      <c r="G23" s="492">
        <v>92.8</v>
      </c>
      <c r="H23" s="493">
        <v>96.9</v>
      </c>
      <c r="I23" s="494">
        <v>105.9</v>
      </c>
      <c r="J23" s="494">
        <v>113.4</v>
      </c>
      <c r="K23" s="495">
        <v>121.8</v>
      </c>
      <c r="L23" s="495">
        <v>135.6</v>
      </c>
      <c r="M23" s="495">
        <v>143.51659999999998</v>
      </c>
      <c r="N23" s="496">
        <v>150.34129999999999</v>
      </c>
      <c r="O23" s="497">
        <f t="shared" si="14"/>
        <v>146.4585772727296</v>
      </c>
      <c r="P23" s="505"/>
      <c r="Q23" s="498">
        <f t="shared" si="15"/>
        <v>161.27063856927978</v>
      </c>
      <c r="R23" s="491">
        <f t="shared" si="2"/>
        <v>0.1893114938737448</v>
      </c>
      <c r="S23" s="498">
        <f t="shared" si="16"/>
        <v>158.302439347058</v>
      </c>
      <c r="T23" s="491">
        <f t="shared" si="17"/>
        <v>0.10302529008531436</v>
      </c>
      <c r="U23" s="499">
        <f>+Q23</f>
        <v>161.27063856927978</v>
      </c>
      <c r="V23" s="491">
        <f t="shared" si="4"/>
        <v>0.1893114938737448</v>
      </c>
      <c r="W23" s="500"/>
      <c r="Y23" s="499">
        <f t="shared" si="5"/>
        <v>162.96416103446876</v>
      </c>
      <c r="AC23" s="501">
        <f t="shared" si="6"/>
        <v>2.9126213592232997E-2</v>
      </c>
      <c r="AD23" s="501">
        <f t="shared" si="0"/>
        <v>4.5990566037735992E-2</v>
      </c>
      <c r="AE23" s="501">
        <f t="shared" si="0"/>
        <v>4.6223224351747305E-2</v>
      </c>
      <c r="AF23" s="501">
        <f t="shared" si="0"/>
        <v>4.4181034482758674E-2</v>
      </c>
      <c r="AG23" s="501">
        <f t="shared" si="0"/>
        <v>9.2879256965944235E-2</v>
      </c>
      <c r="AH23" s="501">
        <v>5.8999999999999997E-2</v>
      </c>
      <c r="AI23" s="501">
        <f t="shared" si="0"/>
        <v>7.4074074074073959E-2</v>
      </c>
      <c r="AJ23" s="501">
        <f t="shared" si="0"/>
        <v>0.11330049261083741</v>
      </c>
      <c r="AK23" s="501">
        <f t="shared" si="0"/>
        <v>5.8382005899704881E-2</v>
      </c>
      <c r="AL23" s="501">
        <f t="shared" si="7"/>
        <v>4.7553384068463211E-2</v>
      </c>
      <c r="AM23" s="501">
        <f t="shared" si="8"/>
        <v>6.1976994963137105E-2</v>
      </c>
      <c r="AN23" s="501">
        <f t="shared" si="9"/>
        <v>7.2596729076489341E-2</v>
      </c>
      <c r="AO23" s="501">
        <f t="shared" si="10"/>
        <v>7.3040988551729136E-2</v>
      </c>
      <c r="AP23" s="501">
        <f t="shared" si="11"/>
        <v>7.2696847568031991E-2</v>
      </c>
      <c r="AQ23" s="501">
        <f t="shared" si="1"/>
        <v>5.2953774824735421E-2</v>
      </c>
      <c r="AR23" s="491"/>
      <c r="AS23" s="501"/>
    </row>
    <row r="24" spans="1:45">
      <c r="A24" s="1221" t="s">
        <v>89</v>
      </c>
      <c r="B24" s="1222"/>
      <c r="C24" s="1223"/>
      <c r="D24" s="524">
        <v>-369</v>
      </c>
      <c r="E24" s="524">
        <v>-288.2</v>
      </c>
      <c r="F24" s="524">
        <v>-300.2</v>
      </c>
      <c r="G24" s="524">
        <v>-262.5</v>
      </c>
      <c r="H24" s="525">
        <v>-289</v>
      </c>
      <c r="I24" s="526">
        <v>-374.3</v>
      </c>
      <c r="J24" s="526">
        <v>-379.8</v>
      </c>
      <c r="K24" s="527">
        <v>-403.9</v>
      </c>
      <c r="L24" s="527">
        <v>-430.5</v>
      </c>
      <c r="M24" s="527">
        <v>-446.68029999999999</v>
      </c>
      <c r="N24" s="528">
        <v>-470.28050000000002</v>
      </c>
      <c r="O24" s="529">
        <f t="shared" si="14"/>
        <v>-451.5247863636323</v>
      </c>
      <c r="P24" s="505"/>
      <c r="Q24" s="529">
        <f t="shared" si="15"/>
        <v>-494.74871773567173</v>
      </c>
      <c r="R24" s="491">
        <f t="shared" si="2"/>
        <v>0.14924208533257088</v>
      </c>
      <c r="S24" s="529">
        <f t="shared" si="16"/>
        <v>-491.52869769058901</v>
      </c>
      <c r="T24" s="491">
        <f t="shared" si="17"/>
        <v>0.10040379593769644</v>
      </c>
      <c r="U24" s="529">
        <f>+Q24</f>
        <v>-494.74871773567173</v>
      </c>
      <c r="V24" s="491">
        <f t="shared" si="4"/>
        <v>0.14924208533257088</v>
      </c>
      <c r="W24" s="500"/>
      <c r="Y24" s="499">
        <f t="shared" si="5"/>
        <v>-499.94413381104653</v>
      </c>
      <c r="AC24" s="501">
        <f t="shared" si="6"/>
        <v>-0.21897018970189708</v>
      </c>
      <c r="AD24" s="501">
        <f t="shared" si="0"/>
        <v>4.1637751561415692E-2</v>
      </c>
      <c r="AE24" s="501">
        <f t="shared" si="0"/>
        <v>-0.12558294470353093</v>
      </c>
      <c r="AF24" s="501">
        <f t="shared" si="0"/>
        <v>0.1009523809523809</v>
      </c>
      <c r="AG24" s="501">
        <f t="shared" si="0"/>
        <v>0.29515570934256052</v>
      </c>
      <c r="AH24" s="501">
        <v>1.4E-2</v>
      </c>
      <c r="AI24" s="501">
        <f t="shared" si="0"/>
        <v>6.3454449710373728E-2</v>
      </c>
      <c r="AJ24" s="501">
        <f t="shared" si="0"/>
        <v>6.585788561525141E-2</v>
      </c>
      <c r="AK24" s="501">
        <f t="shared" si="0"/>
        <v>3.7584901277584182E-2</v>
      </c>
      <c r="AL24" s="501">
        <f t="shared" si="7"/>
        <v>5.2834656016842452E-2</v>
      </c>
      <c r="AM24" s="501">
        <f t="shared" si="8"/>
        <v>2.4549770824181513E-2</v>
      </c>
      <c r="AN24" s="501">
        <f t="shared" si="9"/>
        <v>4.6712543914616045E-2</v>
      </c>
      <c r="AO24" s="501">
        <f t="shared" si="10"/>
        <v>5.4873792388549177E-2</v>
      </c>
      <c r="AP24" s="501">
        <f t="shared" si="11"/>
        <v>5.2028986393592033E-2</v>
      </c>
      <c r="AQ24" s="501">
        <f t="shared" si="1"/>
        <v>4.5181966274572272E-2</v>
      </c>
      <c r="AR24" s="491"/>
      <c r="AS24" s="501"/>
    </row>
    <row r="25" spans="1:45" s="268" customFormat="1" ht="13.5" thickBot="1">
      <c r="A25" s="1224" t="s">
        <v>90</v>
      </c>
      <c r="B25" s="1225"/>
      <c r="C25" s="1226"/>
      <c r="D25" s="502">
        <f t="shared" ref="D25:N25" si="18">+D19+D20+D21+D22+D23+D24</f>
        <v>3457.0000000000005</v>
      </c>
      <c r="E25" s="502">
        <f t="shared" si="18"/>
        <v>3471.5000000000005</v>
      </c>
      <c r="F25" s="502">
        <f t="shared" si="18"/>
        <v>3474.8</v>
      </c>
      <c r="G25" s="502">
        <f t="shared" si="18"/>
        <v>3781.7000000000003</v>
      </c>
      <c r="H25" s="502">
        <f t="shared" si="18"/>
        <v>4172.7999999999993</v>
      </c>
      <c r="I25" s="502">
        <f t="shared" si="18"/>
        <v>4573.2999999999993</v>
      </c>
      <c r="J25" s="502">
        <f t="shared" si="18"/>
        <v>5200.7</v>
      </c>
      <c r="K25" s="530">
        <f t="shared" si="18"/>
        <v>5640.3</v>
      </c>
      <c r="L25" s="530">
        <f t="shared" si="18"/>
        <v>5704.5000000000009</v>
      </c>
      <c r="M25" s="1024">
        <f t="shared" si="18"/>
        <v>6176.3096602047672</v>
      </c>
      <c r="N25" s="1024">
        <f t="shared" si="18"/>
        <v>6882.84144410094</v>
      </c>
      <c r="O25" s="504">
        <f>SUM(O19:O24)</f>
        <v>6566.0976395425387</v>
      </c>
      <c r="P25" s="505">
        <f>+O25/K25-1</f>
        <v>0.16413978680966235</v>
      </c>
      <c r="Q25" s="506">
        <f>+Q19+Q20+Q21+Q22+Q23+Q24</f>
        <v>7359.5167680556506</v>
      </c>
      <c r="R25" s="507">
        <f t="shared" si="2"/>
        <v>0.29012477308364448</v>
      </c>
      <c r="S25" s="506">
        <f>+S19+S20+S21+S22+S23+S24</f>
        <v>7565.3679670323581</v>
      </c>
      <c r="T25" s="507">
        <f>+S25/$L25-1</f>
        <v>0.32621052976288145</v>
      </c>
      <c r="U25" s="506">
        <f>+U19+U20+U21+U22+U23+U24</f>
        <v>7518.4681170430158</v>
      </c>
      <c r="V25" s="507">
        <f t="shared" si="4"/>
        <v>0.3179889766049635</v>
      </c>
      <c r="W25" s="507"/>
      <c r="X25" s="238"/>
      <c r="Y25" s="506">
        <f t="shared" si="5"/>
        <v>7597.420459347717</v>
      </c>
      <c r="Z25" s="238"/>
      <c r="AA25" s="238"/>
      <c r="AB25" s="238"/>
      <c r="AC25" s="509">
        <f t="shared" si="6"/>
        <v>4.1943881978594444E-3</v>
      </c>
      <c r="AD25" s="509">
        <f t="shared" si="0"/>
        <v>9.5059772432648515E-4</v>
      </c>
      <c r="AE25" s="509">
        <f t="shared" si="0"/>
        <v>8.8321630021871878E-2</v>
      </c>
      <c r="AF25" s="509">
        <f t="shared" si="0"/>
        <v>0.10341909723140352</v>
      </c>
      <c r="AG25" s="509">
        <f t="shared" si="0"/>
        <v>9.5978719325153339E-2</v>
      </c>
      <c r="AH25" s="509">
        <f t="shared" si="0"/>
        <v>0.13718758883082249</v>
      </c>
      <c r="AI25" s="509">
        <f t="shared" si="0"/>
        <v>8.4527082892687622E-2</v>
      </c>
      <c r="AJ25" s="509">
        <f t="shared" si="0"/>
        <v>1.1382373278017166E-2</v>
      </c>
      <c r="AK25" s="509">
        <f t="shared" si="0"/>
        <v>8.270832854847332E-2</v>
      </c>
      <c r="AL25" s="509">
        <f t="shared" si="7"/>
        <v>0.11439384078303294</v>
      </c>
      <c r="AM25" s="509">
        <f t="shared" si="8"/>
        <v>7.1289475973145944E-2</v>
      </c>
      <c r="AN25" s="509">
        <f t="shared" si="9"/>
        <v>8.5194576898982341E-2</v>
      </c>
      <c r="AO25" s="509">
        <f t="shared" si="10"/>
        <v>7.2572087319433945E-2</v>
      </c>
      <c r="AP25" s="509">
        <f t="shared" si="11"/>
        <v>6.8616445906336296E-2</v>
      </c>
      <c r="AQ25" s="509">
        <f t="shared" si="1"/>
        <v>9.8436840559763414E-2</v>
      </c>
      <c r="AR25" s="1021"/>
      <c r="AS25" s="1022"/>
    </row>
    <row r="26" spans="1:45">
      <c r="A26" s="1227" t="s">
        <v>91</v>
      </c>
      <c r="B26" s="1228"/>
      <c r="C26" s="1229"/>
      <c r="D26" s="492">
        <v>111.9</v>
      </c>
      <c r="E26" s="492">
        <v>118.7</v>
      </c>
      <c r="F26" s="492">
        <v>122.9</v>
      </c>
      <c r="G26" s="492">
        <v>129.5</v>
      </c>
      <c r="H26" s="493">
        <v>134.30000000000001</v>
      </c>
      <c r="I26" s="531">
        <v>137.80000000000001</v>
      </c>
      <c r="J26" s="531">
        <v>155.6</v>
      </c>
      <c r="K26" s="532">
        <v>163.9</v>
      </c>
      <c r="L26" s="532">
        <v>171.9</v>
      </c>
      <c r="M26" s="532">
        <v>188.63310000000001</v>
      </c>
      <c r="N26" s="533">
        <v>196.6474</v>
      </c>
      <c r="O26" s="497">
        <f t="shared" ref="O26:O31" si="19">FORECAST($O$8,D26:N26,$D$8:$N$8)</f>
        <v>191.09683636363843</v>
      </c>
      <c r="P26" s="501">
        <f>+O26/K26-1</f>
        <v>0.16593554828333379</v>
      </c>
      <c r="Q26" s="498">
        <f t="shared" ref="Q26:Q31" si="20">+N26*(1+AP26)</f>
        <v>208.95749843755647</v>
      </c>
      <c r="R26" s="491">
        <f t="shared" si="2"/>
        <v>0.21557590714110786</v>
      </c>
      <c r="S26" s="498">
        <f t="shared" ref="S26:S31" si="21">+N26*(1+AQ26)</f>
        <v>210.32668394549705</v>
      </c>
      <c r="T26" s="491">
        <f t="shared" ref="T26:T32" si="22">+S26/$M26-1</f>
        <v>0.11500412146912198</v>
      </c>
      <c r="U26" s="499">
        <f>+Q26</f>
        <v>208.95749843755647</v>
      </c>
      <c r="V26" s="491">
        <f t="shared" si="4"/>
        <v>0.21557590714110786</v>
      </c>
      <c r="W26" s="534"/>
      <c r="Y26" s="499">
        <f t="shared" si="5"/>
        <v>211.15178638118405</v>
      </c>
      <c r="AC26" s="501">
        <f t="shared" si="6"/>
        <v>6.0768543342269776E-2</v>
      </c>
      <c r="AD26" s="501">
        <f t="shared" si="0"/>
        <v>3.5383319292333626E-2</v>
      </c>
      <c r="AE26" s="501">
        <f t="shared" si="0"/>
        <v>5.3702196908055333E-2</v>
      </c>
      <c r="AF26" s="501">
        <f t="shared" si="0"/>
        <v>3.7065637065637258E-2</v>
      </c>
      <c r="AG26" s="501">
        <f t="shared" si="0"/>
        <v>2.6061057334326065E-2</v>
      </c>
      <c r="AH26" s="501">
        <f t="shared" si="0"/>
        <v>0.12917271407837427</v>
      </c>
      <c r="AI26" s="501">
        <f t="shared" si="0"/>
        <v>5.3341902313624789E-2</v>
      </c>
      <c r="AJ26" s="501">
        <f t="shared" si="0"/>
        <v>4.8810250152532042E-2</v>
      </c>
      <c r="AK26" s="501">
        <f t="shared" si="0"/>
        <v>9.7342059336823716E-2</v>
      </c>
      <c r="AL26" s="501">
        <f t="shared" si="7"/>
        <v>4.2486180845249244E-2</v>
      </c>
      <c r="AM26" s="501">
        <f t="shared" si="8"/>
        <v>5.8000352065641414E-2</v>
      </c>
      <c r="AN26" s="501">
        <f t="shared" si="9"/>
        <v>7.3711978577892107E-2</v>
      </c>
      <c r="AO26" s="501">
        <f t="shared" si="10"/>
        <v>6.0277765155850573E-2</v>
      </c>
      <c r="AP26" s="501">
        <f t="shared" si="11"/>
        <v>6.259985353254853E-2</v>
      </c>
      <c r="AQ26" s="501">
        <f t="shared" si="1"/>
        <v>6.9562495845340716E-2</v>
      </c>
      <c r="AR26" s="491"/>
      <c r="AS26" s="501"/>
    </row>
    <row r="27" spans="1:45">
      <c r="A27" s="1221" t="s">
        <v>92</v>
      </c>
      <c r="B27" s="1222"/>
      <c r="C27" s="1223"/>
      <c r="D27" s="492">
        <v>368.9</v>
      </c>
      <c r="E27" s="492">
        <v>388.4</v>
      </c>
      <c r="F27" s="492">
        <v>394.8</v>
      </c>
      <c r="G27" s="492">
        <v>410.3</v>
      </c>
      <c r="H27" s="493">
        <v>426.8</v>
      </c>
      <c r="I27" s="531">
        <v>448.4</v>
      </c>
      <c r="J27" s="531">
        <v>513.1</v>
      </c>
      <c r="K27" s="532">
        <v>548.29999999999995</v>
      </c>
      <c r="L27" s="532">
        <v>575.5</v>
      </c>
      <c r="M27" s="532">
        <v>609.09278067804701</v>
      </c>
      <c r="N27" s="533">
        <v>663.11840000000007</v>
      </c>
      <c r="O27" s="497">
        <f t="shared" si="19"/>
        <v>634.16752200310293</v>
      </c>
      <c r="P27" s="501">
        <f t="shared" ref="P27:P32" si="23">+O27/K27-1</f>
        <v>0.15660682473664589</v>
      </c>
      <c r="Q27" s="498">
        <f t="shared" si="20"/>
        <v>706.50518973164299</v>
      </c>
      <c r="R27" s="491">
        <f t="shared" si="2"/>
        <v>0.22763716721397564</v>
      </c>
      <c r="S27" s="498">
        <f t="shared" si="21"/>
        <v>711.80978554420267</v>
      </c>
      <c r="T27" s="491">
        <f t="shared" si="22"/>
        <v>0.16863934054810215</v>
      </c>
      <c r="U27" s="519">
        <f>+Q27*W27</f>
        <v>699.44013783432661</v>
      </c>
      <c r="V27" s="491">
        <f t="shared" si="4"/>
        <v>0.21536079554183596</v>
      </c>
      <c r="W27" s="535">
        <v>0.99</v>
      </c>
      <c r="Y27" s="519">
        <f t="shared" si="5"/>
        <v>706.78504324913627</v>
      </c>
      <c r="AC27" s="501">
        <f t="shared" si="6"/>
        <v>5.2859853618866914E-2</v>
      </c>
      <c r="AD27" s="501">
        <f t="shared" si="0"/>
        <v>1.6477857878475888E-2</v>
      </c>
      <c r="AE27" s="501">
        <f t="shared" si="0"/>
        <v>3.9260385005065901E-2</v>
      </c>
      <c r="AF27" s="501">
        <f t="shared" si="0"/>
        <v>4.0214477211796273E-2</v>
      </c>
      <c r="AG27" s="501">
        <f t="shared" si="0"/>
        <v>5.0609184629803128E-2</v>
      </c>
      <c r="AH27" s="501">
        <f t="shared" si="0"/>
        <v>0.14429081177520087</v>
      </c>
      <c r="AI27" s="501">
        <f t="shared" si="0"/>
        <v>6.8602611576690675E-2</v>
      </c>
      <c r="AJ27" s="501">
        <f t="shared" si="0"/>
        <v>4.9607878898413338E-2</v>
      </c>
      <c r="AK27" s="501">
        <f t="shared" si="0"/>
        <v>5.8371469466632409E-2</v>
      </c>
      <c r="AL27" s="501">
        <f t="shared" si="7"/>
        <v>8.8698505442489806E-2</v>
      </c>
      <c r="AM27" s="501">
        <f t="shared" si="8"/>
        <v>6.0396394392206933E-2</v>
      </c>
      <c r="AN27" s="501">
        <f t="shared" si="9"/>
        <v>8.1396837001060054E-2</v>
      </c>
      <c r="AO27" s="501">
        <f t="shared" si="10"/>
        <v>6.622108347916765E-2</v>
      </c>
      <c r="AP27" s="501">
        <f t="shared" si="11"/>
        <v>6.5428420824460487E-2</v>
      </c>
      <c r="AQ27" s="501">
        <f t="shared" si="1"/>
        <v>7.342789092295228E-2</v>
      </c>
      <c r="AR27" s="491"/>
      <c r="AS27" s="501"/>
    </row>
    <row r="28" spans="1:45">
      <c r="A28" s="1221" t="s">
        <v>93</v>
      </c>
      <c r="B28" s="1222"/>
      <c r="C28" s="1223"/>
      <c r="D28" s="492">
        <v>1128.9000000000001</v>
      </c>
      <c r="E28" s="492">
        <v>1171.3</v>
      </c>
      <c r="F28" s="492">
        <v>1188</v>
      </c>
      <c r="G28" s="492">
        <v>1217</v>
      </c>
      <c r="H28" s="493">
        <v>1208.3</v>
      </c>
      <c r="I28" s="531">
        <v>1231.8</v>
      </c>
      <c r="J28" s="531">
        <v>1272.7</v>
      </c>
      <c r="K28" s="532">
        <v>1321</v>
      </c>
      <c r="L28" s="532">
        <v>1353.5</v>
      </c>
      <c r="M28" s="532">
        <v>1393.4</v>
      </c>
      <c r="N28" s="533">
        <v>1468.1000000000001</v>
      </c>
      <c r="O28" s="497">
        <f t="shared" si="19"/>
        <v>1420.968181818178</v>
      </c>
      <c r="P28" s="501">
        <f t="shared" si="23"/>
        <v>7.5676140664782787E-2</v>
      </c>
      <c r="Q28" s="498">
        <f t="shared" si="20"/>
        <v>1520.6872768734111</v>
      </c>
      <c r="R28" s="491">
        <f t="shared" si="2"/>
        <v>0.12352218461278985</v>
      </c>
      <c r="S28" s="498">
        <f t="shared" si="21"/>
        <v>1528.9888836944606</v>
      </c>
      <c r="T28" s="491">
        <f t="shared" si="22"/>
        <v>9.7307940070662013E-2</v>
      </c>
      <c r="U28" s="519">
        <f>+Q28*W28</f>
        <v>1596.7216407170818</v>
      </c>
      <c r="V28" s="491">
        <f t="shared" si="4"/>
        <v>0.1796982938434295</v>
      </c>
      <c r="W28" s="535">
        <v>1.05</v>
      </c>
      <c r="Y28" s="519">
        <f t="shared" si="5"/>
        <v>1613.4890076302233</v>
      </c>
      <c r="AC28" s="501">
        <f t="shared" si="6"/>
        <v>3.7558685446009266E-2</v>
      </c>
      <c r="AD28" s="501">
        <f t="shared" si="0"/>
        <v>1.4257662426363948E-2</v>
      </c>
      <c r="AE28" s="501">
        <f t="shared" si="0"/>
        <v>2.4410774410774438E-2</v>
      </c>
      <c r="AF28" s="501">
        <f t="shared" si="0"/>
        <v>-7.1487263763352349E-3</v>
      </c>
      <c r="AG28" s="501">
        <f t="shared" si="0"/>
        <v>1.9448812381031244E-2</v>
      </c>
      <c r="AH28" s="501">
        <f t="shared" si="0"/>
        <v>3.3203442117226922E-2</v>
      </c>
      <c r="AI28" s="501">
        <f t="shared" si="0"/>
        <v>3.7950813231712122E-2</v>
      </c>
      <c r="AJ28" s="501">
        <f t="shared" si="0"/>
        <v>2.4602573807721351E-2</v>
      </c>
      <c r="AK28" s="501">
        <f t="shared" si="0"/>
        <v>2.9479128186184145E-2</v>
      </c>
      <c r="AL28" s="501">
        <f t="shared" si="7"/>
        <v>5.360987512559201E-2</v>
      </c>
      <c r="AM28" s="501">
        <f t="shared" si="8"/>
        <v>2.6620699446315024E-2</v>
      </c>
      <c r="AN28" s="501">
        <f t="shared" si="9"/>
        <v>3.5721729303229491E-2</v>
      </c>
      <c r="AO28" s="501">
        <f t="shared" si="10"/>
        <v>3.6352259573043166E-2</v>
      </c>
      <c r="AP28" s="501">
        <f t="shared" si="11"/>
        <v>3.5819955638860243E-2</v>
      </c>
      <c r="AQ28" s="501">
        <f t="shared" si="1"/>
        <v>4.1474615962441445E-2</v>
      </c>
      <c r="AR28" s="491"/>
      <c r="AS28" s="501"/>
    </row>
    <row r="29" spans="1:45">
      <c r="A29" s="1232" t="s">
        <v>94</v>
      </c>
      <c r="B29" s="1233"/>
      <c r="C29" s="1233"/>
      <c r="D29" s="536">
        <v>25.8</v>
      </c>
      <c r="E29" s="536">
        <v>24.6</v>
      </c>
      <c r="F29" s="536">
        <v>25.7</v>
      </c>
      <c r="G29" s="536">
        <v>27</v>
      </c>
      <c r="H29" s="536">
        <v>27.8</v>
      </c>
      <c r="I29" s="537">
        <v>32.799999999999997</v>
      </c>
      <c r="J29" s="537">
        <v>37.9</v>
      </c>
      <c r="K29" s="538">
        <v>45.3</v>
      </c>
      <c r="L29" s="538">
        <v>45.7</v>
      </c>
      <c r="M29" s="538">
        <v>46.4405</v>
      </c>
      <c r="N29" s="539">
        <v>51.746000000000002</v>
      </c>
      <c r="O29" s="497">
        <f t="shared" si="19"/>
        <v>50.24386363636313</v>
      </c>
      <c r="P29" s="501">
        <f t="shared" si="23"/>
        <v>0.10913606261287279</v>
      </c>
      <c r="Q29" s="498">
        <f t="shared" si="20"/>
        <v>54.092407558900696</v>
      </c>
      <c r="R29" s="491">
        <f t="shared" si="2"/>
        <v>0.18364130325822092</v>
      </c>
      <c r="S29" s="498">
        <f t="shared" si="21"/>
        <v>55.062645864152245</v>
      </c>
      <c r="T29" s="491">
        <f t="shared" si="22"/>
        <v>0.18566005672101382</v>
      </c>
      <c r="U29" s="499">
        <f>+Q29</f>
        <v>54.092407558900696</v>
      </c>
      <c r="V29" s="491">
        <f t="shared" si="4"/>
        <v>0.18364130325822092</v>
      </c>
      <c r="W29" s="500"/>
      <c r="Y29" s="499">
        <f t="shared" si="5"/>
        <v>54.660438467749636</v>
      </c>
      <c r="AC29" s="501">
        <f t="shared" si="6"/>
        <v>-4.6511627906976716E-2</v>
      </c>
      <c r="AD29" s="501">
        <f t="shared" si="0"/>
        <v>4.471544715447151E-2</v>
      </c>
      <c r="AE29" s="501">
        <f t="shared" si="0"/>
        <v>5.058365758754868E-2</v>
      </c>
      <c r="AF29" s="501">
        <f t="shared" si="0"/>
        <v>2.9629629629629672E-2</v>
      </c>
      <c r="AG29" s="501">
        <f t="shared" si="0"/>
        <v>0.17985611510791344</v>
      </c>
      <c r="AH29" s="501">
        <f t="shared" si="0"/>
        <v>0.15548780487804881</v>
      </c>
      <c r="AI29" s="501">
        <f t="shared" si="0"/>
        <v>0.19525065963060673</v>
      </c>
      <c r="AJ29" s="501">
        <f t="shared" si="0"/>
        <v>8.8300220750552327E-3</v>
      </c>
      <c r="AK29" s="501">
        <f t="shared" si="0"/>
        <v>1.6203501094091743E-2</v>
      </c>
      <c r="AL29" s="501">
        <f t="shared" si="7"/>
        <v>0.11424295604052492</v>
      </c>
      <c r="AM29" s="501">
        <f t="shared" si="8"/>
        <v>7.2076330839000183E-2</v>
      </c>
      <c r="AN29" s="501">
        <f t="shared" si="9"/>
        <v>9.5470250746325064E-2</v>
      </c>
      <c r="AO29" s="501">
        <f t="shared" si="10"/>
        <v>8.0959427522511479E-2</v>
      </c>
      <c r="AP29" s="501">
        <f t="shared" si="11"/>
        <v>4.5344713773058688E-2</v>
      </c>
      <c r="AQ29" s="501">
        <f t="shared" si="1"/>
        <v>6.4094729334677844E-2</v>
      </c>
      <c r="AR29" s="491"/>
      <c r="AS29" s="501"/>
    </row>
    <row r="30" spans="1:45">
      <c r="A30" s="1232" t="s">
        <v>95</v>
      </c>
      <c r="B30" s="1233"/>
      <c r="C30" s="1233"/>
      <c r="D30" s="540">
        <v>1103.9000000000001</v>
      </c>
      <c r="E30" s="540">
        <v>1150</v>
      </c>
      <c r="F30" s="540">
        <v>1201.7</v>
      </c>
      <c r="G30" s="540">
        <v>1268.2</v>
      </c>
      <c r="H30" s="540">
        <v>1358.4</v>
      </c>
      <c r="I30" s="537">
        <v>1453.9</v>
      </c>
      <c r="J30" s="537">
        <v>1568</v>
      </c>
      <c r="K30" s="538">
        <v>1718.9</v>
      </c>
      <c r="L30" s="538">
        <v>1896.9</v>
      </c>
      <c r="M30" s="538">
        <v>2042.4517000000001</v>
      </c>
      <c r="N30" s="539">
        <v>2186.3839999999996</v>
      </c>
      <c r="O30" s="497">
        <f t="shared" si="19"/>
        <v>2094.3771909091156</v>
      </c>
      <c r="P30" s="501">
        <f t="shared" si="23"/>
        <v>0.21844039264012771</v>
      </c>
      <c r="Q30" s="498">
        <f t="shared" si="20"/>
        <v>2368.9272125472639</v>
      </c>
      <c r="R30" s="491">
        <f t="shared" si="2"/>
        <v>0.24884137938070738</v>
      </c>
      <c r="S30" s="498">
        <f t="shared" si="21"/>
        <v>2347.293750629648</v>
      </c>
      <c r="T30" s="491">
        <f t="shared" si="22"/>
        <v>0.14925300345151271</v>
      </c>
      <c r="U30" s="499">
        <f>+Q30</f>
        <v>2368.9272125472639</v>
      </c>
      <c r="V30" s="491">
        <f t="shared" si="4"/>
        <v>0.24884137938070738</v>
      </c>
      <c r="W30" s="500"/>
      <c r="Y30" s="499">
        <f t="shared" si="5"/>
        <v>2393.8036034913162</v>
      </c>
      <c r="AC30" s="501">
        <f t="shared" si="6"/>
        <v>4.1761029078720924E-2</v>
      </c>
      <c r="AD30" s="501">
        <f t="shared" si="0"/>
        <v>4.4956521739130562E-2</v>
      </c>
      <c r="AE30" s="501">
        <f t="shared" si="0"/>
        <v>5.5338270783057419E-2</v>
      </c>
      <c r="AF30" s="501">
        <f t="shared" si="0"/>
        <v>7.1124428323608324E-2</v>
      </c>
      <c r="AG30" s="501">
        <f t="shared" si="0"/>
        <v>7.0303297997644343E-2</v>
      </c>
      <c r="AH30" s="501">
        <f t="shared" si="0"/>
        <v>7.847857486759735E-2</v>
      </c>
      <c r="AI30" s="501">
        <f t="shared" si="0"/>
        <v>9.6237244897959151E-2</v>
      </c>
      <c r="AJ30" s="501">
        <f t="shared" si="0"/>
        <v>0.10355459887137131</v>
      </c>
      <c r="AK30" s="501">
        <f t="shared" si="0"/>
        <v>7.6731351151879457E-2</v>
      </c>
      <c r="AL30" s="501">
        <f t="shared" si="7"/>
        <v>7.0470356777592169E-2</v>
      </c>
      <c r="AM30" s="501">
        <f t="shared" si="8"/>
        <v>7.0729259609110487E-2</v>
      </c>
      <c r="AN30" s="501">
        <f t="shared" si="9"/>
        <v>8.5021592088739661E-2</v>
      </c>
      <c r="AO30" s="501">
        <f t="shared" si="10"/>
        <v>8.6663539480616877E-2</v>
      </c>
      <c r="AP30" s="501">
        <f t="shared" si="11"/>
        <v>8.34909204180347E-2</v>
      </c>
      <c r="AQ30" s="501">
        <f t="shared" si="1"/>
        <v>7.3596289869322332E-2</v>
      </c>
      <c r="AR30" s="491"/>
      <c r="AS30" s="501"/>
    </row>
    <row r="31" spans="1:45">
      <c r="A31" s="541" t="s">
        <v>96</v>
      </c>
      <c r="B31" s="542"/>
      <c r="C31" s="542"/>
      <c r="D31" s="543">
        <v>84.3</v>
      </c>
      <c r="E31" s="543">
        <v>93.1</v>
      </c>
      <c r="F31" s="543">
        <v>95.1</v>
      </c>
      <c r="G31" s="543">
        <v>102.7</v>
      </c>
      <c r="H31" s="543">
        <v>104.5</v>
      </c>
      <c r="I31" s="544">
        <v>111.3</v>
      </c>
      <c r="J31" s="544">
        <v>112.6</v>
      </c>
      <c r="K31" s="545">
        <v>114.7</v>
      </c>
      <c r="L31" s="545">
        <v>113.8</v>
      </c>
      <c r="M31" s="545">
        <v>115.50069999999999</v>
      </c>
      <c r="N31" s="546">
        <v>119.47110000000001</v>
      </c>
      <c r="O31" s="497">
        <f t="shared" si="19"/>
        <v>122.17281363636266</v>
      </c>
      <c r="P31" s="501">
        <f t="shared" si="23"/>
        <v>6.5150947134809511E-2</v>
      </c>
      <c r="Q31" s="498">
        <f t="shared" si="20"/>
        <v>121.10516820068533</v>
      </c>
      <c r="R31" s="491">
        <f t="shared" si="2"/>
        <v>6.4193042185284099E-2</v>
      </c>
      <c r="S31" s="498">
        <f t="shared" si="21"/>
        <v>122.41176574579002</v>
      </c>
      <c r="T31" s="491">
        <f t="shared" si="22"/>
        <v>5.9835704422484204E-2</v>
      </c>
      <c r="U31" s="499">
        <f>+Q31</f>
        <v>121.10516820068533</v>
      </c>
      <c r="V31" s="491">
        <f t="shared" si="4"/>
        <v>6.4193042185284099E-2</v>
      </c>
      <c r="W31" s="500"/>
      <c r="Y31" s="499">
        <f t="shared" si="5"/>
        <v>122.37690820753254</v>
      </c>
      <c r="AC31" s="501">
        <f t="shared" si="6"/>
        <v>0.10438908659549218</v>
      </c>
      <c r="AD31" s="501">
        <f t="shared" si="0"/>
        <v>2.148227712137496E-2</v>
      </c>
      <c r="AE31" s="501">
        <f t="shared" si="0"/>
        <v>7.9915878023133713E-2</v>
      </c>
      <c r="AF31" s="501">
        <f t="shared" si="0"/>
        <v>1.7526777020447915E-2</v>
      </c>
      <c r="AG31" s="501">
        <f t="shared" si="0"/>
        <v>6.507177033492817E-2</v>
      </c>
      <c r="AH31" s="501">
        <f t="shared" si="0"/>
        <v>1.1680143755615324E-2</v>
      </c>
      <c r="AI31" s="501">
        <f t="shared" si="0"/>
        <v>1.8650088809946785E-2</v>
      </c>
      <c r="AJ31" s="501">
        <f t="shared" si="0"/>
        <v>-7.8465562336530459E-3</v>
      </c>
      <c r="AK31" s="501">
        <f t="shared" si="0"/>
        <v>1.4944639718804886E-2</v>
      </c>
      <c r="AL31" s="501">
        <f t="shared" si="7"/>
        <v>3.4375549239095582E-2</v>
      </c>
      <c r="AM31" s="501">
        <f t="shared" si="8"/>
        <v>3.5484324468733175E-2</v>
      </c>
      <c r="AN31" s="501">
        <f t="shared" si="9"/>
        <v>1.4269905321280866E-2</v>
      </c>
      <c r="AO31" s="501">
        <f t="shared" si="10"/>
        <v>1.4918380899903995E-2</v>
      </c>
      <c r="AP31" s="501">
        <f t="shared" si="11"/>
        <v>1.3677518669245648E-2</v>
      </c>
      <c r="AQ31" s="501">
        <f t="shared" si="1"/>
        <v>2.4614034237485288E-2</v>
      </c>
      <c r="AR31" s="491"/>
      <c r="AS31" s="501"/>
    </row>
    <row r="32" spans="1:45">
      <c r="A32" s="547" t="s">
        <v>97</v>
      </c>
      <c r="B32" s="1025"/>
      <c r="C32" s="1026"/>
      <c r="D32" s="492">
        <f t="shared" ref="D32:K32" si="24">SUM(D29:D31)</f>
        <v>1214</v>
      </c>
      <c r="E32" s="492">
        <f t="shared" si="24"/>
        <v>1267.6999999999998</v>
      </c>
      <c r="F32" s="492">
        <f t="shared" si="24"/>
        <v>1322.5</v>
      </c>
      <c r="G32" s="492">
        <f t="shared" si="24"/>
        <v>1397.9</v>
      </c>
      <c r="H32" s="493">
        <f t="shared" si="24"/>
        <v>1490.7</v>
      </c>
      <c r="I32" s="531">
        <f t="shared" si="24"/>
        <v>1598</v>
      </c>
      <c r="J32" s="531">
        <f t="shared" si="24"/>
        <v>1718.5</v>
      </c>
      <c r="K32" s="532">
        <f t="shared" si="24"/>
        <v>1878.9</v>
      </c>
      <c r="L32" s="532">
        <f>SUM(L29:L31)</f>
        <v>2056.4</v>
      </c>
      <c r="M32" s="532">
        <f>SUM(M29:M31)</f>
        <v>2204.3929000000003</v>
      </c>
      <c r="N32" s="532">
        <f>SUM(N29:N31)</f>
        <v>2357.6010999999999</v>
      </c>
      <c r="O32" s="497">
        <f>SUM(O29:O31)</f>
        <v>2266.7938681818414</v>
      </c>
      <c r="P32" s="501">
        <f t="shared" si="23"/>
        <v>0.20644731927289439</v>
      </c>
      <c r="Q32" s="498">
        <f>SUM(Q29:Q31)</f>
        <v>2544.12478830685</v>
      </c>
      <c r="R32" s="491">
        <f t="shared" si="2"/>
        <v>0.23717408495762005</v>
      </c>
      <c r="S32" s="498">
        <f>SUM(S29:S31)</f>
        <v>2524.7681622395903</v>
      </c>
      <c r="T32" s="491">
        <f t="shared" si="22"/>
        <v>0.14533491839843515</v>
      </c>
      <c r="U32" s="499">
        <f>SUM(U29:U31)</f>
        <v>2544.12478830685</v>
      </c>
      <c r="V32" s="491">
        <f t="shared" si="4"/>
        <v>0.23717408495762005</v>
      </c>
      <c r="W32" s="500"/>
      <c r="Y32" s="499">
        <f t="shared" si="5"/>
        <v>2570.8409501665983</v>
      </c>
      <c r="AC32" s="501">
        <f t="shared" si="6"/>
        <v>4.4233937397034406E-2</v>
      </c>
      <c r="AD32" s="501">
        <f t="shared" si="0"/>
        <v>4.3227893034629705E-2</v>
      </c>
      <c r="AE32" s="501">
        <f t="shared" si="0"/>
        <v>5.701323251417767E-2</v>
      </c>
      <c r="AF32" s="501">
        <f t="shared" si="0"/>
        <v>6.638529222405043E-2</v>
      </c>
      <c r="AG32" s="501">
        <f t="shared" si="0"/>
        <v>7.1979606896088955E-2</v>
      </c>
      <c r="AH32" s="501">
        <f t="shared" si="0"/>
        <v>7.5406758448059996E-2</v>
      </c>
      <c r="AI32" s="501">
        <f t="shared" si="0"/>
        <v>9.3337212685481674E-2</v>
      </c>
      <c r="AJ32" s="501">
        <f t="shared" si="0"/>
        <v>9.4470168715737879E-2</v>
      </c>
      <c r="AK32" s="501">
        <f t="shared" si="0"/>
        <v>7.1966981132075558E-2</v>
      </c>
      <c r="AL32" s="501">
        <f t="shared" si="7"/>
        <v>6.9501312583614139E-2</v>
      </c>
      <c r="AM32" s="501">
        <f t="shared" si="8"/>
        <v>6.862459100978921E-2</v>
      </c>
      <c r="AN32" s="501">
        <f t="shared" si="9"/>
        <v>8.0883059074658814E-2</v>
      </c>
      <c r="AO32" s="501">
        <f t="shared" si="10"/>
        <v>8.2256486038456644E-2</v>
      </c>
      <c r="AP32" s="501">
        <f t="shared" si="11"/>
        <v>7.8587922637255322E-2</v>
      </c>
      <c r="AQ32" s="501">
        <f t="shared" si="1"/>
        <v>7.07334371201149E-2</v>
      </c>
      <c r="AR32" s="491"/>
      <c r="AS32" s="501"/>
    </row>
    <row r="33" spans="1:45" s="268" customFormat="1" ht="13.5" thickBot="1">
      <c r="A33" s="1224" t="s">
        <v>98</v>
      </c>
      <c r="B33" s="1225"/>
      <c r="C33" s="1226"/>
      <c r="D33" s="502">
        <f t="shared" ref="D33:L33" si="25">+D26+D27+D28+D32</f>
        <v>2823.7</v>
      </c>
      <c r="E33" s="502">
        <f t="shared" si="25"/>
        <v>2946.0999999999995</v>
      </c>
      <c r="F33" s="502">
        <f t="shared" si="25"/>
        <v>3028.2</v>
      </c>
      <c r="G33" s="502">
        <f t="shared" si="25"/>
        <v>3154.7</v>
      </c>
      <c r="H33" s="502">
        <f t="shared" si="25"/>
        <v>3260.1000000000004</v>
      </c>
      <c r="I33" s="502">
        <f t="shared" si="25"/>
        <v>3416</v>
      </c>
      <c r="J33" s="502">
        <f t="shared" si="25"/>
        <v>3659.9</v>
      </c>
      <c r="K33" s="530">
        <f t="shared" si="25"/>
        <v>3912.1</v>
      </c>
      <c r="L33" s="530">
        <f t="shared" si="25"/>
        <v>4157.3</v>
      </c>
      <c r="M33" s="1024">
        <f>+M26+M27+M28+M32</f>
        <v>4395.5187806780468</v>
      </c>
      <c r="N33" s="1024">
        <f>+N26+N27+N28+N32</f>
        <v>4685.4669000000004</v>
      </c>
      <c r="O33" s="504">
        <f>+O26+O27+O28+O32</f>
        <v>4513.0264083667607</v>
      </c>
      <c r="P33" s="505">
        <f>+O33/K33-1</f>
        <v>0.15360711852119335</v>
      </c>
      <c r="Q33" s="506">
        <f>+Q26+Q27+Q28+Q32</f>
        <v>4980.2747533494603</v>
      </c>
      <c r="R33" s="507">
        <f t="shared" si="2"/>
        <v>0.19795895252915585</v>
      </c>
      <c r="S33" s="506">
        <f>+S26+S27+S28+S32</f>
        <v>4975.8935154237506</v>
      </c>
      <c r="T33" s="507">
        <f>+S33/$L33-1</f>
        <v>0.19690508633578285</v>
      </c>
      <c r="U33" s="506">
        <f>+U26+U27+U28+U32</f>
        <v>5049.2440652958148</v>
      </c>
      <c r="V33" s="507">
        <f t="shared" si="4"/>
        <v>0.21454888155673513</v>
      </c>
      <c r="W33" s="507"/>
      <c r="X33" s="238"/>
      <c r="Y33" s="506">
        <f t="shared" si="5"/>
        <v>5102.2667874271419</v>
      </c>
      <c r="Z33" s="238"/>
      <c r="AA33" s="238"/>
      <c r="AB33" s="238"/>
      <c r="AC33" s="509">
        <f t="shared" si="6"/>
        <v>4.3347381095725446E-2</v>
      </c>
      <c r="AD33" s="509">
        <f t="shared" si="0"/>
        <v>2.7867350056006268E-2</v>
      </c>
      <c r="AE33" s="509">
        <f t="shared" si="0"/>
        <v>4.1773991149858025E-2</v>
      </c>
      <c r="AF33" s="509">
        <f t="shared" si="0"/>
        <v>3.3410466922370041E-2</v>
      </c>
      <c r="AG33" s="509">
        <f t="shared" si="0"/>
        <v>4.7820618999417031E-2</v>
      </c>
      <c r="AH33" s="509">
        <f t="shared" si="0"/>
        <v>7.1399297423887509E-2</v>
      </c>
      <c r="AI33" s="509">
        <f t="shared" si="0"/>
        <v>6.8908986584332865E-2</v>
      </c>
      <c r="AJ33" s="509">
        <f t="shared" si="0"/>
        <v>6.2677334423966835E-2</v>
      </c>
      <c r="AK33" s="509">
        <f t="shared" si="0"/>
        <v>5.7301320731736105E-2</v>
      </c>
      <c r="AL33" s="509">
        <f t="shared" si="7"/>
        <v>6.5964481962064614E-2</v>
      </c>
      <c r="AM33" s="509">
        <f t="shared" si="8"/>
        <v>5.19459648145447E-2</v>
      </c>
      <c r="AN33" s="509">
        <f t="shared" si="9"/>
        <v>6.5238863145065717E-2</v>
      </c>
      <c r="AO33" s="509">
        <f t="shared" si="10"/>
        <v>6.3704297216209405E-2</v>
      </c>
      <c r="AP33" s="509">
        <f t="shared" si="11"/>
        <v>6.1975038528391029E-2</v>
      </c>
      <c r="AQ33" s="509">
        <f t="shared" si="1"/>
        <v>6.1624064644195273E-2</v>
      </c>
      <c r="AR33" s="1021"/>
      <c r="AS33" s="1022"/>
    </row>
    <row r="34" spans="1:45">
      <c r="A34" s="548" t="s">
        <v>99</v>
      </c>
      <c r="B34" s="1027"/>
      <c r="C34" s="1028"/>
      <c r="D34" s="492">
        <v>208.9</v>
      </c>
      <c r="E34" s="492">
        <v>211.5</v>
      </c>
      <c r="F34" s="492">
        <v>198.2</v>
      </c>
      <c r="G34" s="492">
        <v>207.9</v>
      </c>
      <c r="H34" s="493">
        <v>228.7</v>
      </c>
      <c r="I34" s="494">
        <v>285.3</v>
      </c>
      <c r="J34" s="494">
        <v>349.4</v>
      </c>
      <c r="K34" s="495">
        <v>365</v>
      </c>
      <c r="L34" s="495">
        <v>349.8</v>
      </c>
      <c r="M34" s="495">
        <v>382.2</v>
      </c>
      <c r="N34" s="496">
        <v>447.21272687986169</v>
      </c>
      <c r="O34" s="497">
        <f>FORECAST($O$8,D34:N34,$D$8:$N$8)</f>
        <v>419.64950400723319</v>
      </c>
      <c r="P34" s="238"/>
      <c r="Q34" s="498">
        <f>+N34*(1+AP34)</f>
        <v>478.54331189117732</v>
      </c>
      <c r="R34" s="491">
        <f>+Q34/$K34-1</f>
        <v>0.31107756682514331</v>
      </c>
      <c r="S34" s="498">
        <f>+N34*(1+AQ34)</f>
        <v>505.66317693740069</v>
      </c>
      <c r="T34" s="491">
        <f>+S34/$M34-1</f>
        <v>0.32303290669126294</v>
      </c>
      <c r="U34" s="499">
        <f>+Q34</f>
        <v>478.54331189117732</v>
      </c>
      <c r="V34" s="491">
        <f t="shared" si="4"/>
        <v>0.3680483473161158</v>
      </c>
      <c r="W34" s="500"/>
      <c r="Y34" s="499">
        <f t="shared" si="5"/>
        <v>483.56855304135416</v>
      </c>
      <c r="AC34" s="501">
        <f t="shared" si="6"/>
        <v>1.2446146481570164E-2</v>
      </c>
      <c r="AD34" s="501">
        <f t="shared" si="0"/>
        <v>-6.2884160756501273E-2</v>
      </c>
      <c r="AE34" s="501">
        <f t="shared" si="0"/>
        <v>4.8940464177598564E-2</v>
      </c>
      <c r="AF34" s="501">
        <f t="shared" si="0"/>
        <v>0.10004810004809994</v>
      </c>
      <c r="AG34" s="501">
        <f t="shared" si="0"/>
        <v>0.24748578924355069</v>
      </c>
      <c r="AH34" s="501">
        <f t="shared" si="0"/>
        <v>0.22467577988082699</v>
      </c>
      <c r="AI34" s="501">
        <f t="shared" si="0"/>
        <v>4.4647967945048661E-2</v>
      </c>
      <c r="AJ34" s="501">
        <f t="shared" si="0"/>
        <v>-4.1643835616438363E-2</v>
      </c>
      <c r="AK34" s="501">
        <f t="shared" si="0"/>
        <v>9.262435677530001E-2</v>
      </c>
      <c r="AL34" s="501">
        <f t="shared" si="7"/>
        <v>0.17010132621627871</v>
      </c>
      <c r="AM34" s="501">
        <f t="shared" si="8"/>
        <v>7.9089760256275926E-2</v>
      </c>
      <c r="AN34" s="501">
        <f t="shared" si="9"/>
        <v>9.4063366807665902E-2</v>
      </c>
      <c r="AO34" s="501">
        <f t="shared" si="10"/>
        <v>6.3647719809603695E-2</v>
      </c>
      <c r="AP34" s="501">
        <f t="shared" si="11"/>
        <v>7.0057453932280911E-2</v>
      </c>
      <c r="AQ34" s="501">
        <f t="shared" si="1"/>
        <v>0.13069943350078453</v>
      </c>
      <c r="AR34" s="491"/>
      <c r="AS34" s="501"/>
    </row>
    <row r="35" spans="1:45">
      <c r="A35" s="547" t="s">
        <v>100</v>
      </c>
      <c r="B35" s="1025"/>
      <c r="C35" s="1026"/>
      <c r="D35" s="492">
        <v>139.69999999999999</v>
      </c>
      <c r="E35" s="492">
        <v>136.69999999999999</v>
      </c>
      <c r="F35" s="492">
        <v>139.19999999999999</v>
      </c>
      <c r="G35" s="492">
        <v>170.7</v>
      </c>
      <c r="H35" s="493">
        <v>191.8</v>
      </c>
      <c r="I35" s="494">
        <v>254.5</v>
      </c>
      <c r="J35" s="494">
        <v>302.39999999999998</v>
      </c>
      <c r="K35" s="495">
        <v>330.3</v>
      </c>
      <c r="L35" s="495">
        <v>360.6</v>
      </c>
      <c r="M35" s="495">
        <v>440.9</v>
      </c>
      <c r="N35" s="496">
        <v>531.67579948141758</v>
      </c>
      <c r="O35" s="497">
        <f>FORECAST($O$8,D35:N35,$D$8:$N$8)</f>
        <v>466.71048165317916</v>
      </c>
      <c r="P35" s="238"/>
      <c r="Q35" s="498">
        <f>+N35*(1+AP35)</f>
        <v>623.10274692120038</v>
      </c>
      <c r="R35" s="491">
        <f>+Q35/$K35-1</f>
        <v>0.88647516476294386</v>
      </c>
      <c r="S35" s="498">
        <f>+N35*(1+AQ35)</f>
        <v>645.5910157809634</v>
      </c>
      <c r="T35" s="491">
        <f>+S35/$M35-1</f>
        <v>0.46425723697201948</v>
      </c>
      <c r="U35" s="499">
        <f>+Q35</f>
        <v>623.10274692120038</v>
      </c>
      <c r="V35" s="491">
        <f t="shared" si="4"/>
        <v>0.72796102862229706</v>
      </c>
      <c r="W35" s="500"/>
      <c r="Y35" s="499">
        <f t="shared" si="5"/>
        <v>629.64602416864989</v>
      </c>
      <c r="AC35" s="501">
        <f t="shared" si="6"/>
        <v>-2.1474588403722294E-2</v>
      </c>
      <c r="AD35" s="501">
        <f t="shared" si="0"/>
        <v>1.8288222384784225E-2</v>
      </c>
      <c r="AE35" s="501">
        <f t="shared" si="0"/>
        <v>0.2262931034482758</v>
      </c>
      <c r="AF35" s="501">
        <f t="shared" si="0"/>
        <v>0.12360867018160526</v>
      </c>
      <c r="AG35" s="501">
        <f t="shared" si="0"/>
        <v>0.32690302398331594</v>
      </c>
      <c r="AH35" s="501">
        <f t="shared" si="0"/>
        <v>0.18821218074656176</v>
      </c>
      <c r="AI35" s="501">
        <f t="shared" si="0"/>
        <v>9.2261904761904878E-2</v>
      </c>
      <c r="AJ35" s="501">
        <f t="shared" si="0"/>
        <v>9.1734786557674974E-2</v>
      </c>
      <c r="AK35" s="501">
        <f t="shared" si="0"/>
        <v>0.22268441486411517</v>
      </c>
      <c r="AL35" s="501">
        <f t="shared" si="7"/>
        <v>0.20588750165891945</v>
      </c>
      <c r="AM35" s="501">
        <f t="shared" si="8"/>
        <v>0.14299688986941511</v>
      </c>
      <c r="AN35" s="501">
        <f t="shared" si="9"/>
        <v>0.15875553388581304</v>
      </c>
      <c r="AO35" s="501">
        <f t="shared" si="10"/>
        <v>0.15150618895244838</v>
      </c>
      <c r="AP35" s="501">
        <f t="shared" si="11"/>
        <v>0.17195995666712349</v>
      </c>
      <c r="AQ35" s="501">
        <f t="shared" si="1"/>
        <v>0.2142569144780628</v>
      </c>
      <c r="AR35" s="491"/>
      <c r="AS35" s="501"/>
    </row>
    <row r="36" spans="1:45">
      <c r="A36" s="547" t="s">
        <v>101</v>
      </c>
      <c r="B36" s="1025"/>
      <c r="C36" s="1026"/>
      <c r="D36" s="492">
        <v>397.1</v>
      </c>
      <c r="E36" s="492">
        <v>460.8</v>
      </c>
      <c r="F36" s="492">
        <v>465.6</v>
      </c>
      <c r="G36" s="492">
        <v>500</v>
      </c>
      <c r="H36" s="493">
        <v>539.5</v>
      </c>
      <c r="I36" s="494">
        <v>562</v>
      </c>
      <c r="J36" s="494">
        <v>639.5</v>
      </c>
      <c r="K36" s="495">
        <v>650</v>
      </c>
      <c r="L36" s="495">
        <v>679.2</v>
      </c>
      <c r="M36" s="495">
        <f>743.2+2.5</f>
        <v>745.7</v>
      </c>
      <c r="N36" s="496">
        <f>834.697018150389-4.1</f>
        <v>830.59701815038898</v>
      </c>
      <c r="O36" s="497">
        <f>FORECAST($O$8,D36:N36,$D$8:$N$8)</f>
        <v>785.81268759330851</v>
      </c>
      <c r="P36" s="238"/>
      <c r="Q36" s="498">
        <f>+N36*(1+AP36)</f>
        <v>901.32767189860181</v>
      </c>
      <c r="R36" s="491">
        <f>+Q36/$K36-1</f>
        <v>0.38665795676707981</v>
      </c>
      <c r="S36" s="498">
        <f>+N36*(1+AQ36)</f>
        <v>918.51597252236252</v>
      </c>
      <c r="T36" s="491">
        <f>+S36/$M36-1</f>
        <v>0.2317499966774339</v>
      </c>
      <c r="U36" s="499">
        <f>+Q36</f>
        <v>901.32767189860181</v>
      </c>
      <c r="V36" s="491">
        <f t="shared" si="4"/>
        <v>0.32704309761278227</v>
      </c>
      <c r="W36" s="500"/>
      <c r="Y36" s="499">
        <f t="shared" si="5"/>
        <v>910.79262270674928</v>
      </c>
      <c r="AC36" s="501">
        <f t="shared" si="6"/>
        <v>0.16041299420800792</v>
      </c>
      <c r="AD36" s="501">
        <f t="shared" si="0"/>
        <v>1.0416666666666741E-2</v>
      </c>
      <c r="AE36" s="501">
        <f t="shared" si="0"/>
        <v>7.3883161512027451E-2</v>
      </c>
      <c r="AF36" s="501">
        <f t="shared" si="0"/>
        <v>7.8999999999999959E-2</v>
      </c>
      <c r="AG36" s="501">
        <f t="shared" si="0"/>
        <v>4.1705282669138199E-2</v>
      </c>
      <c r="AH36" s="501">
        <f t="shared" si="0"/>
        <v>0.13790035587188609</v>
      </c>
      <c r="AI36" s="501">
        <f t="shared" si="0"/>
        <v>1.6419077404222104E-2</v>
      </c>
      <c r="AJ36" s="501">
        <f t="shared" si="0"/>
        <v>4.4923076923077065E-2</v>
      </c>
      <c r="AK36" s="501">
        <f t="shared" si="0"/>
        <v>9.7909305064782126E-2</v>
      </c>
      <c r="AL36" s="501">
        <f t="shared" si="7"/>
        <v>0.11384875707441178</v>
      </c>
      <c r="AM36" s="501">
        <f t="shared" si="8"/>
        <v>7.6586793602265127E-2</v>
      </c>
      <c r="AN36" s="501">
        <f t="shared" si="9"/>
        <v>8.1261676479178452E-2</v>
      </c>
      <c r="AO36" s="501">
        <f t="shared" si="10"/>
        <v>6.7548106822276063E-2</v>
      </c>
      <c r="AP36" s="501">
        <f t="shared" si="11"/>
        <v>8.5156402205390794E-2</v>
      </c>
      <c r="AQ36" s="501">
        <f t="shared" si="1"/>
        <v>0.1058503130287602</v>
      </c>
      <c r="AR36" s="491"/>
      <c r="AS36" s="501"/>
    </row>
    <row r="37" spans="1:45">
      <c r="A37" s="547" t="s">
        <v>102</v>
      </c>
      <c r="B37" s="1025"/>
      <c r="C37" s="1026"/>
      <c r="D37" s="524">
        <v>-60</v>
      </c>
      <c r="E37" s="524">
        <v>-51.8</v>
      </c>
      <c r="F37" s="524">
        <v>-45.4</v>
      </c>
      <c r="G37" s="524">
        <v>-77.7</v>
      </c>
      <c r="H37" s="525">
        <v>-79.8</v>
      </c>
      <c r="I37" s="526">
        <v>-157.5</v>
      </c>
      <c r="J37" s="526">
        <v>-158.1</v>
      </c>
      <c r="K37" s="527">
        <v>-170</v>
      </c>
      <c r="L37" s="527">
        <v>-125.4</v>
      </c>
      <c r="M37" s="527">
        <v>-180.4</v>
      </c>
      <c r="N37" s="528">
        <v>-190.58554451166799</v>
      </c>
      <c r="O37" s="529">
        <f>FORECAST($O$8,D37:N37,$D$8:$N$8)</f>
        <v>-193.7999459809871</v>
      </c>
      <c r="P37" s="238"/>
      <c r="Q37" s="549">
        <f>+N37*(1+AP37)</f>
        <v>-197.98713412565453</v>
      </c>
      <c r="R37" s="491">
        <f>+Q37/$K37-1</f>
        <v>0.16463020073914425</v>
      </c>
      <c r="S37" s="549">
        <f>+N37*(1+AQ37)</f>
        <v>-234.95579860067676</v>
      </c>
      <c r="T37" s="491">
        <f>+S37/$M37-1</f>
        <v>0.30241573503701091</v>
      </c>
      <c r="U37" s="550">
        <f>+Q37</f>
        <v>-197.98713412565453</v>
      </c>
      <c r="V37" s="491">
        <f t="shared" si="4"/>
        <v>0.57884476974206156</v>
      </c>
      <c r="W37" s="500"/>
      <c r="Y37" s="550">
        <f>U37/$U$39*$Y$39</f>
        <v>-200.06622094787323</v>
      </c>
      <c r="AC37" s="501">
        <f t="shared" si="6"/>
        <v>-0.13666666666666671</v>
      </c>
      <c r="AD37" s="501">
        <f t="shared" si="0"/>
        <v>-0.12355212355212353</v>
      </c>
      <c r="AE37" s="501">
        <f t="shared" si="0"/>
        <v>0.71145374449339216</v>
      </c>
      <c r="AF37" s="501">
        <f t="shared" si="0"/>
        <v>2.7027027027026973E-2</v>
      </c>
      <c r="AG37" s="501">
        <f t="shared" si="0"/>
        <v>0.97368421052631593</v>
      </c>
      <c r="AH37" s="501">
        <f t="shared" si="0"/>
        <v>3.8095238095237072E-3</v>
      </c>
      <c r="AI37" s="501">
        <f t="shared" si="0"/>
        <v>7.5268817204301008E-2</v>
      </c>
      <c r="AJ37" s="501">
        <f t="shared" si="0"/>
        <v>-0.26235294117647057</v>
      </c>
      <c r="AK37" s="501">
        <f t="shared" si="0"/>
        <v>0.43859649122807021</v>
      </c>
      <c r="AL37" s="501">
        <f t="shared" si="7"/>
        <v>5.6460889754257115E-2</v>
      </c>
      <c r="AM37" s="501">
        <f t="shared" si="8"/>
        <v>0.1225194393721781</v>
      </c>
      <c r="AN37" s="501">
        <f t="shared" si="9"/>
        <v>3.8871614022547879E-2</v>
      </c>
      <c r="AO37" s="501">
        <f t="shared" si="10"/>
        <v>4.7826847637215043E-2</v>
      </c>
      <c r="AP37" s="501">
        <f t="shared" si="11"/>
        <v>3.8836049360151934E-2</v>
      </c>
      <c r="AQ37" s="501">
        <f t="shared" si="1"/>
        <v>0.23281017562322176</v>
      </c>
      <c r="AR37" s="491"/>
      <c r="AS37" s="501"/>
    </row>
    <row r="38" spans="1:45" ht="13.5" thickBot="1">
      <c r="A38" s="1224" t="s">
        <v>103</v>
      </c>
      <c r="B38" s="1225"/>
      <c r="C38" s="1226"/>
      <c r="D38" s="551">
        <f t="shared" ref="D38:J38" si="26">SUM(D34:D37)</f>
        <v>685.7</v>
      </c>
      <c r="E38" s="551">
        <f t="shared" si="26"/>
        <v>757.2</v>
      </c>
      <c r="F38" s="551">
        <f t="shared" si="26"/>
        <v>757.6</v>
      </c>
      <c r="G38" s="551">
        <f t="shared" si="26"/>
        <v>800.9</v>
      </c>
      <c r="H38" s="552">
        <f t="shared" si="26"/>
        <v>880.2</v>
      </c>
      <c r="I38" s="553">
        <f t="shared" si="26"/>
        <v>944.3</v>
      </c>
      <c r="J38" s="553">
        <f t="shared" si="26"/>
        <v>1133.2</v>
      </c>
      <c r="K38" s="554">
        <f>SUM(K34:K37)</f>
        <v>1175.3</v>
      </c>
      <c r="L38" s="554">
        <f>SUM(L34:L37)</f>
        <v>1264.2</v>
      </c>
      <c r="M38" s="554">
        <f>SUM(M34:M37)</f>
        <v>1388.3999999999999</v>
      </c>
      <c r="N38" s="554">
        <f>SUM(N34:N37)</f>
        <v>1618.9</v>
      </c>
      <c r="O38" s="504">
        <f>SUM(O34:O37)</f>
        <v>1478.3727272727338</v>
      </c>
      <c r="P38" s="505">
        <f>+O38/K38-1</f>
        <v>0.25786839723707455</v>
      </c>
      <c r="Q38" s="555">
        <f>SUM(Q34:Q37)</f>
        <v>1804.9865965853248</v>
      </c>
      <c r="R38" s="491">
        <f t="shared" si="2"/>
        <v>0.42776981220164911</v>
      </c>
      <c r="S38" s="555">
        <f>SUM(S34:S37)</f>
        <v>1834.8143666400501</v>
      </c>
      <c r="T38" s="507">
        <f>+S38/$L38-1</f>
        <v>0.45136399829144924</v>
      </c>
      <c r="U38" s="555">
        <f>SUM(U34:U37)</f>
        <v>1804.9865965853248</v>
      </c>
      <c r="V38" s="491">
        <f t="shared" si="4"/>
        <v>0.42776981220164911</v>
      </c>
      <c r="W38" s="556"/>
      <c r="Y38" s="555">
        <f>SUM(Y34:Y37)</f>
        <v>1823.9409789688802</v>
      </c>
      <c r="AC38" s="509">
        <f t="shared" si="6"/>
        <v>0.10427300568761844</v>
      </c>
      <c r="AD38" s="509">
        <f t="shared" si="0"/>
        <v>5.2826201796096761E-4</v>
      </c>
      <c r="AE38" s="509">
        <f t="shared" si="0"/>
        <v>5.7154171066525761E-2</v>
      </c>
      <c r="AF38" s="509">
        <f t="shared" si="0"/>
        <v>9.9013609689099891E-2</v>
      </c>
      <c r="AG38" s="509">
        <f t="shared" si="0"/>
        <v>7.282435810043153E-2</v>
      </c>
      <c r="AH38" s="509">
        <f t="shared" si="0"/>
        <v>0.20004235941967607</v>
      </c>
      <c r="AI38" s="509">
        <f t="shared" si="0"/>
        <v>3.7151429579950435E-2</v>
      </c>
      <c r="AJ38" s="509">
        <f>+L38/K38-1</f>
        <v>7.5640262060750585E-2</v>
      </c>
      <c r="AK38" s="509">
        <f>+M38/L38-1</f>
        <v>9.8243948742287479E-2</v>
      </c>
      <c r="AL38" s="509">
        <f t="shared" si="7"/>
        <v>0.1660184384903487</v>
      </c>
      <c r="AM38" s="509">
        <f t="shared" si="8"/>
        <v>8.9704106104413567E-2</v>
      </c>
      <c r="AN38" s="509">
        <f t="shared" si="9"/>
        <v>0.11383793937218588</v>
      </c>
      <c r="AO38" s="509">
        <f t="shared" si="10"/>
        <v>9.3272349551185074E-2</v>
      </c>
      <c r="AP38" s="509">
        <f t="shared" si="11"/>
        <v>0.1126462169291861</v>
      </c>
      <c r="AQ38" s="509">
        <f t="shared" si="1"/>
        <v>0.13162391906232102</v>
      </c>
      <c r="AR38" s="1021"/>
      <c r="AS38" s="1022"/>
    </row>
    <row r="39" spans="1:45" s="268" customFormat="1" ht="13.5" thickBot="1">
      <c r="A39" s="557" t="s">
        <v>104</v>
      </c>
      <c r="B39" s="558"/>
      <c r="C39" s="559"/>
      <c r="D39" s="560">
        <f t="shared" ref="D39:J39" si="27">+D38+D33+D25+D18+D13</f>
        <v>11436.199999999999</v>
      </c>
      <c r="E39" s="560">
        <f t="shared" si="27"/>
        <v>11691.099999999999</v>
      </c>
      <c r="F39" s="560">
        <f t="shared" si="27"/>
        <v>12182.8</v>
      </c>
      <c r="G39" s="560">
        <f t="shared" si="27"/>
        <v>13099.199999999999</v>
      </c>
      <c r="H39" s="560">
        <f t="shared" si="27"/>
        <v>14041.199999999999</v>
      </c>
      <c r="I39" s="560">
        <f t="shared" si="27"/>
        <v>15238.599999999999</v>
      </c>
      <c r="J39" s="560">
        <f t="shared" si="27"/>
        <v>17084.399999999998</v>
      </c>
      <c r="K39" s="561">
        <f>+K38+K33+K25+K18+K13-0.1</f>
        <v>18812.900000000005</v>
      </c>
      <c r="L39" s="561">
        <f>+L38+L33+L25+L18+L13-0.1</f>
        <v>19538.3</v>
      </c>
      <c r="M39" s="561">
        <f>+M38+M33+M25+M18+M13-0.1</f>
        <v>20994.335440882813</v>
      </c>
      <c r="N39" s="561">
        <f>+N38+N33+N25+N18+N13-0.1</f>
        <v>23272.070531204634</v>
      </c>
      <c r="O39" s="562">
        <f>+O38+O33+O25+O18+O13</f>
        <v>22155.105062290746</v>
      </c>
      <c r="P39" s="563"/>
      <c r="Q39" s="564">
        <f>+Q34+Q35+Q36+Q37+Q33+Q25+Q18+Q13</f>
        <v>25105.899310894551</v>
      </c>
      <c r="R39" s="565"/>
      <c r="S39" s="564">
        <f>+S34+S35+S36+S37+S33+S25+S18+S13</f>
        <v>25536.691210724879</v>
      </c>
      <c r="T39" s="563"/>
      <c r="U39" s="562">
        <f>+U34+U35+U36+U37+U33+U25+U18+U13</f>
        <v>25093.351862515992</v>
      </c>
      <c r="W39" s="1029"/>
      <c r="X39" s="238"/>
      <c r="Y39" s="562">
        <f>N39*(1+Y41)</f>
        <v>25356.860182958382</v>
      </c>
      <c r="Z39" s="562">
        <f>+Y38+Y33+Y25+Y18+Y13</f>
        <v>25356.860182958386</v>
      </c>
      <c r="AA39" s="238"/>
      <c r="AB39" s="238"/>
      <c r="AC39" s="1030">
        <f t="shared" si="6"/>
        <v>2.2288872177821384E-2</v>
      </c>
      <c r="AD39" s="1030">
        <f t="shared" si="0"/>
        <v>4.2057633584521525E-2</v>
      </c>
      <c r="AE39" s="1030">
        <f t="shared" si="0"/>
        <v>7.5220803099451672E-2</v>
      </c>
      <c r="AF39" s="1030">
        <f t="shared" si="0"/>
        <v>7.1912788567240815E-2</v>
      </c>
      <c r="AG39" s="1030">
        <f t="shared" si="0"/>
        <v>8.5277611600148129E-2</v>
      </c>
      <c r="AH39" s="1030">
        <f t="shared" si="0"/>
        <v>0.12112661268095493</v>
      </c>
      <c r="AI39" s="1030">
        <f t="shared" si="0"/>
        <v>0.10117417058837352</v>
      </c>
      <c r="AJ39" s="1030">
        <f>+L39/K39-1</f>
        <v>3.8558648586873634E-2</v>
      </c>
      <c r="AK39" s="1030">
        <f>+M39/L39-1</f>
        <v>7.4522115070544181E-2</v>
      </c>
      <c r="AL39" s="1030">
        <f>+N39/M39-1</f>
        <v>0.1084928406872232</v>
      </c>
      <c r="AM39" s="1030">
        <f>(RATE(10,,-D39,N39))</f>
        <v>7.3631705661445376E-2</v>
      </c>
      <c r="AN39" s="1030">
        <f>(RATE(5,,-I39,N39))</f>
        <v>8.8373580447763611E-2</v>
      </c>
      <c r="AO39" s="1030">
        <f t="shared" si="10"/>
        <v>8.033593789343875E-2</v>
      </c>
      <c r="AP39" s="1030">
        <f t="shared" si="11"/>
        <v>7.3477861856272905E-2</v>
      </c>
      <c r="AQ39" s="1030">
        <f t="shared" si="1"/>
        <v>9.1375312033303582E-2</v>
      </c>
      <c r="AR39" s="1031"/>
      <c r="AS39" s="1032"/>
    </row>
    <row r="40" spans="1:45" ht="13.5" thickBot="1">
      <c r="H40" s="566"/>
      <c r="I40" s="567"/>
      <c r="L40" s="568"/>
      <c r="M40" s="566"/>
      <c r="N40" s="566"/>
      <c r="P40" s="473"/>
      <c r="Q40" s="473"/>
      <c r="R40" s="473"/>
      <c r="S40" s="473"/>
      <c r="U40" s="567"/>
      <c r="V40" s="491"/>
      <c r="W40" s="570"/>
      <c r="Y40" s="569"/>
      <c r="AB40" s="570"/>
      <c r="AR40" s="478"/>
    </row>
    <row r="41" spans="1:45" ht="13.5" thickBot="1">
      <c r="A41" s="1230" t="s">
        <v>105</v>
      </c>
      <c r="B41" s="1231"/>
      <c r="C41" s="1231"/>
      <c r="D41" s="983"/>
      <c r="E41" s="571">
        <f>+E39/D39-1</f>
        <v>2.2288872177821384E-2</v>
      </c>
      <c r="F41" s="571">
        <f t="shared" ref="F41:K41" si="28">+F39/E39-1</f>
        <v>4.2057633584521525E-2</v>
      </c>
      <c r="G41" s="571">
        <f t="shared" si="28"/>
        <v>7.5220803099451672E-2</v>
      </c>
      <c r="H41" s="571">
        <f t="shared" si="28"/>
        <v>7.1912788567240815E-2</v>
      </c>
      <c r="I41" s="572">
        <f t="shared" si="28"/>
        <v>8.5277611600148129E-2</v>
      </c>
      <c r="J41" s="571">
        <f t="shared" si="28"/>
        <v>0.12112661268095493</v>
      </c>
      <c r="K41" s="573">
        <f t="shared" si="28"/>
        <v>0.10117417058837352</v>
      </c>
      <c r="L41" s="574">
        <f>+L39/K39-1</f>
        <v>3.8558648586873634E-2</v>
      </c>
      <c r="M41" s="573">
        <f>+M39/L39-1</f>
        <v>7.4522115070544181E-2</v>
      </c>
      <c r="N41" s="573">
        <f>+N39/M39-1</f>
        <v>0.1084928406872232</v>
      </c>
      <c r="O41" s="575">
        <f>O39/M39-1</f>
        <v>5.5289657759184818E-2</v>
      </c>
      <c r="Q41" s="576">
        <f>+(Q39/N39)-1</f>
        <v>7.8799554050466014E-2</v>
      </c>
      <c r="R41" s="577"/>
      <c r="S41" s="576">
        <f>+(S39/N39)-1</f>
        <v>9.7310665868071355E-2</v>
      </c>
      <c r="T41" s="577"/>
      <c r="U41" s="578">
        <f>+(U39/N39)-1</f>
        <v>7.8260390663102752E-2</v>
      </c>
      <c r="V41" s="491"/>
      <c r="W41" s="577"/>
      <c r="Y41" s="578">
        <f>F83/100</f>
        <v>8.9583333333333334E-2</v>
      </c>
      <c r="AB41" s="577"/>
      <c r="AC41" s="577"/>
      <c r="AR41" s="478"/>
    </row>
    <row r="42" spans="1:45">
      <c r="A42" s="991"/>
      <c r="B42" s="991"/>
      <c r="C42" s="991"/>
      <c r="D42" s="991"/>
      <c r="E42" s="303"/>
      <c r="F42" s="303"/>
      <c r="G42" s="303"/>
      <c r="H42" s="303"/>
      <c r="I42" s="303"/>
      <c r="J42" s="303"/>
      <c r="K42" s="303"/>
      <c r="L42" s="303"/>
      <c r="M42" s="303"/>
      <c r="N42" s="303"/>
      <c r="O42" s="577"/>
      <c r="Q42" s="577"/>
      <c r="R42" s="577"/>
      <c r="S42" s="577"/>
      <c r="T42" s="577"/>
      <c r="U42" s="579"/>
      <c r="V42" s="491"/>
      <c r="W42" s="577"/>
      <c r="X42" s="577"/>
      <c r="Y42" s="577"/>
      <c r="Z42" s="577"/>
      <c r="AA42" s="577"/>
      <c r="AB42" s="577"/>
      <c r="AC42" s="577"/>
      <c r="AR42" s="478"/>
    </row>
    <row r="43" spans="1:45">
      <c r="A43" s="991"/>
      <c r="B43" s="580" t="s">
        <v>149</v>
      </c>
      <c r="C43" s="580" t="s">
        <v>150</v>
      </c>
      <c r="D43" s="991"/>
      <c r="E43" s="303"/>
      <c r="F43" s="303"/>
      <c r="G43" s="303"/>
      <c r="H43" s="303"/>
      <c r="I43" s="303"/>
      <c r="J43" s="303"/>
      <c r="K43" s="303"/>
      <c r="L43" s="303"/>
      <c r="M43" s="303"/>
      <c r="N43" s="303">
        <f>AVERAGE(E41:N41)</f>
        <v>7.4063209664315302E-2</v>
      </c>
      <c r="O43" s="577"/>
      <c r="Q43" s="577"/>
      <c r="R43" s="577"/>
      <c r="S43" s="577"/>
      <c r="T43" s="577"/>
      <c r="U43" s="581">
        <f>+G83/100</f>
        <v>8.8388888888888892E-2</v>
      </c>
      <c r="V43" s="581"/>
      <c r="W43" s="478" t="s">
        <v>106</v>
      </c>
      <c r="X43" s="478"/>
      <c r="Y43" s="478"/>
      <c r="Z43" s="478"/>
      <c r="AA43" s="478"/>
      <c r="AB43" s="478"/>
    </row>
    <row r="44" spans="1:45">
      <c r="A44" s="991"/>
      <c r="B44" s="580"/>
      <c r="C44" s="580"/>
      <c r="D44" s="991"/>
      <c r="E44" s="303"/>
      <c r="F44" s="303"/>
      <c r="G44" s="303"/>
      <c r="H44" s="303"/>
      <c r="I44" s="303"/>
      <c r="J44" s="303"/>
      <c r="K44" s="303"/>
      <c r="L44" s="303"/>
      <c r="M44" s="303"/>
      <c r="N44" s="303"/>
      <c r="O44" s="577"/>
      <c r="Q44" s="577"/>
      <c r="R44" s="577"/>
      <c r="S44" s="577"/>
      <c r="T44" s="577"/>
      <c r="U44" s="582">
        <f>+U41-U43</f>
        <v>-1.0128498225786139E-2</v>
      </c>
      <c r="V44" s="583"/>
      <c r="W44" s="238" t="s">
        <v>107</v>
      </c>
    </row>
    <row r="46" spans="1:45" ht="13.5" thickBot="1">
      <c r="A46" s="268" t="s">
        <v>193</v>
      </c>
      <c r="U46" s="582">
        <f>RATE(K8-D8,,-D39,K39)</f>
        <v>7.369764546994978E-2</v>
      </c>
    </row>
    <row r="47" spans="1:45">
      <c r="A47" s="584"/>
      <c r="B47" s="585"/>
      <c r="C47" s="585"/>
      <c r="D47" s="586"/>
      <c r="E47" s="587" t="s">
        <v>108</v>
      </c>
      <c r="F47" s="587" t="s">
        <v>109</v>
      </c>
      <c r="G47" s="588" t="s">
        <v>7</v>
      </c>
      <c r="U47" s="589"/>
      <c r="V47" s="583"/>
    </row>
    <row r="48" spans="1:45">
      <c r="A48" s="590" t="s">
        <v>244</v>
      </c>
      <c r="B48" s="591"/>
      <c r="C48" s="591"/>
      <c r="D48" s="592"/>
      <c r="E48" s="1033">
        <f>'[4]Pronosticos Publicados 2013-16 '!G14</f>
        <v>10</v>
      </c>
      <c r="F48" s="1034">
        <f>'[4]Pronosticos Publicados 2013-16 '!I14</f>
        <v>11</v>
      </c>
      <c r="G48" s="1035">
        <f>AVERAGE(E48:F48)</f>
        <v>10.5</v>
      </c>
      <c r="H48" s="26"/>
      <c r="I48" s="26"/>
      <c r="J48" s="26"/>
      <c r="K48" s="26"/>
      <c r="L48" s="26"/>
      <c r="M48" s="26"/>
      <c r="N48" s="26"/>
      <c r="O48" s="26">
        <v>9.5977896080548006E-2</v>
      </c>
    </row>
    <row r="49" spans="1:15" ht="13.15" customHeight="1">
      <c r="A49" s="590" t="s">
        <v>151</v>
      </c>
      <c r="B49" s="591"/>
      <c r="C49" s="591"/>
      <c r="D49" s="592"/>
      <c r="E49" s="1033"/>
      <c r="F49" s="1034">
        <f>'[4]Pronosticos Publicados 2013-16 '!I18</f>
        <v>8.5</v>
      </c>
      <c r="G49" s="1035">
        <f>AVERAGE(E49:F49)</f>
        <v>8.5</v>
      </c>
      <c r="H49" s="26"/>
      <c r="I49" s="26"/>
      <c r="J49" s="26"/>
      <c r="K49" s="26"/>
      <c r="L49" s="26"/>
      <c r="M49" s="26"/>
      <c r="N49" s="26"/>
      <c r="O49" s="26"/>
    </row>
    <row r="50" spans="1:15" ht="13.15" customHeight="1">
      <c r="A50" s="590" t="s">
        <v>162</v>
      </c>
      <c r="B50" s="591"/>
      <c r="C50" s="591"/>
      <c r="D50" s="592"/>
      <c r="E50" s="1033"/>
      <c r="F50" s="1034">
        <f>'[4]Pronosticos Publicados 2013-16 '!I19</f>
        <v>8</v>
      </c>
      <c r="G50" s="1035">
        <f>AVERAGE(E50:F50)</f>
        <v>8</v>
      </c>
      <c r="H50" s="26"/>
      <c r="I50" s="26"/>
      <c r="J50" s="26"/>
      <c r="K50" s="26"/>
      <c r="L50" s="26"/>
      <c r="M50" s="26"/>
      <c r="N50" s="26"/>
      <c r="O50" s="26"/>
    </row>
    <row r="51" spans="1:15">
      <c r="A51" s="590" t="s">
        <v>245</v>
      </c>
      <c r="B51" s="591"/>
      <c r="C51" s="591"/>
      <c r="D51" s="592"/>
      <c r="E51" s="1033"/>
      <c r="F51" s="1034"/>
      <c r="G51" s="1035"/>
      <c r="O51" s="26"/>
    </row>
    <row r="52" spans="1:15">
      <c r="A52" s="590" t="s">
        <v>246</v>
      </c>
      <c r="B52" s="591"/>
      <c r="C52" s="591"/>
      <c r="D52" s="592"/>
      <c r="E52" s="1033"/>
      <c r="F52" s="1034">
        <f>'[4]Pronosticos Publicados 2013-16 '!I21</f>
        <v>9.5</v>
      </c>
      <c r="G52" s="1035">
        <f t="shared" ref="G52:G63" si="29">AVERAGE(E52:F52)</f>
        <v>9.5</v>
      </c>
      <c r="O52" s="26"/>
    </row>
    <row r="53" spans="1:15">
      <c r="A53" s="590"/>
      <c r="B53" s="591"/>
      <c r="C53" s="591"/>
      <c r="D53" s="592"/>
      <c r="E53" s="1033"/>
      <c r="F53" s="1034"/>
      <c r="G53" s="1035"/>
      <c r="O53" s="26"/>
    </row>
    <row r="54" spans="1:15">
      <c r="A54" s="590"/>
      <c r="B54" s="591"/>
      <c r="C54" s="591"/>
      <c r="D54" s="592"/>
      <c r="E54" s="1033"/>
      <c r="F54" s="1034"/>
      <c r="G54" s="1035"/>
      <c r="O54" s="26"/>
    </row>
    <row r="55" spans="1:15">
      <c r="A55" s="590" t="s">
        <v>247</v>
      </c>
      <c r="B55" s="591"/>
      <c r="C55" s="591"/>
      <c r="D55" s="592"/>
      <c r="E55" s="1033"/>
      <c r="F55" s="1034">
        <f>'[4]Pronosticos Publicados 2013-16 '!I27</f>
        <v>9</v>
      </c>
      <c r="G55" s="1035">
        <f t="shared" si="29"/>
        <v>9</v>
      </c>
      <c r="O55" s="26"/>
    </row>
    <row r="56" spans="1:15">
      <c r="A56" s="590" t="s">
        <v>248</v>
      </c>
      <c r="B56" s="591"/>
      <c r="C56" s="591"/>
      <c r="D56" s="592"/>
      <c r="E56" s="1033"/>
      <c r="F56" s="1034">
        <f>'[4]Pronosticos Publicados 2013-16 '!I35</f>
        <v>10</v>
      </c>
      <c r="G56" s="1035">
        <f t="shared" si="29"/>
        <v>10</v>
      </c>
      <c r="H56" s="26"/>
      <c r="I56" s="593"/>
      <c r="J56" s="593"/>
      <c r="K56" s="593"/>
      <c r="L56" s="593"/>
      <c r="M56" s="593"/>
      <c r="N56" s="593"/>
      <c r="O56" s="26"/>
    </row>
    <row r="57" spans="1:15">
      <c r="A57" s="590" t="s">
        <v>153</v>
      </c>
      <c r="B57" s="591"/>
      <c r="C57" s="591"/>
      <c r="D57" s="592"/>
      <c r="E57" s="1033"/>
      <c r="F57" s="1034">
        <f>'[4]Pronosticos Publicados 2013-16 '!I26</f>
        <v>9</v>
      </c>
      <c r="G57" s="1035">
        <f t="shared" si="29"/>
        <v>9</v>
      </c>
      <c r="H57" s="26"/>
      <c r="I57" s="593"/>
      <c r="J57" s="593"/>
      <c r="K57" s="593"/>
      <c r="L57" s="593"/>
      <c r="M57" s="593"/>
      <c r="N57" s="593"/>
      <c r="O57" s="26"/>
    </row>
    <row r="58" spans="1:15">
      <c r="A58" s="590" t="s">
        <v>249</v>
      </c>
      <c r="B58" s="591"/>
      <c r="C58" s="591"/>
      <c r="D58" s="592"/>
      <c r="E58" s="1033"/>
      <c r="F58" s="1034">
        <f>'[4]Pronosticos Publicados 2013-16 '!I30</f>
        <v>6.5</v>
      </c>
      <c r="G58" s="1035">
        <f t="shared" si="29"/>
        <v>6.5</v>
      </c>
      <c r="O58" s="26"/>
    </row>
    <row r="59" spans="1:15">
      <c r="A59" s="590" t="s">
        <v>250</v>
      </c>
      <c r="B59" s="591"/>
      <c r="C59" s="591"/>
      <c r="D59" s="592"/>
      <c r="E59" s="1033"/>
      <c r="F59" s="1034">
        <f>'[4]Pronosticos Publicados 2013-16 '!I28</f>
        <v>7.7</v>
      </c>
      <c r="G59" s="1035">
        <f>AVERAGE(E59:F59)</f>
        <v>7.7</v>
      </c>
      <c r="O59" s="26"/>
    </row>
    <row r="60" spans="1:15">
      <c r="A60" s="594" t="s">
        <v>348</v>
      </c>
      <c r="B60" s="591"/>
      <c r="C60" s="591"/>
      <c r="D60" s="592"/>
      <c r="E60" s="1033"/>
      <c r="F60" s="1034">
        <f>'[4]Pronosticos Publicados 2013-16 '!I29</f>
        <v>9.0500000000000007</v>
      </c>
      <c r="G60" s="1035">
        <f>'[4]Pronosticos Publicados 2013-16 '!J29</f>
        <v>9.0500000000000007</v>
      </c>
      <c r="O60" s="26"/>
    </row>
    <row r="61" spans="1:15">
      <c r="A61" s="594" t="s">
        <v>251</v>
      </c>
      <c r="B61" s="591"/>
      <c r="C61" s="591"/>
      <c r="D61" s="592"/>
      <c r="E61" s="1033"/>
      <c r="F61" s="1034">
        <f>'[4]Pronosticos Publicados 2013-16 '!I31</f>
        <v>10</v>
      </c>
      <c r="G61" s="1035">
        <f>AVERAGE(E61:F61)</f>
        <v>10</v>
      </c>
      <c r="O61" s="26"/>
    </row>
    <row r="62" spans="1:15">
      <c r="A62" s="595" t="s">
        <v>252</v>
      </c>
      <c r="B62" s="591"/>
      <c r="C62" s="591"/>
      <c r="D62" s="592"/>
      <c r="E62" s="1033"/>
      <c r="F62" s="1034">
        <f>'[4]Pronosticos Publicados 2013-16 '!I32</f>
        <v>7.5</v>
      </c>
      <c r="G62" s="1035">
        <f t="shared" si="29"/>
        <v>7.5</v>
      </c>
      <c r="O62" s="26"/>
    </row>
    <row r="63" spans="1:15">
      <c r="A63" s="248" t="s">
        <v>349</v>
      </c>
      <c r="B63" s="591"/>
      <c r="C63" s="591"/>
      <c r="D63" s="592"/>
      <c r="E63" s="1033"/>
      <c r="F63" s="1034">
        <f>'[4]Pronosticos Publicados 2013-16 '!I36</f>
        <v>10</v>
      </c>
      <c r="G63" s="1035">
        <f t="shared" si="29"/>
        <v>10</v>
      </c>
      <c r="O63" s="26"/>
    </row>
    <row r="64" spans="1:15">
      <c r="A64" s="248" t="s">
        <v>407</v>
      </c>
      <c r="B64" s="591"/>
      <c r="C64" s="591"/>
      <c r="D64" s="592"/>
      <c r="E64" s="1033"/>
      <c r="F64" s="1034">
        <v>8</v>
      </c>
      <c r="G64" s="1035">
        <v>8</v>
      </c>
      <c r="O64" s="26"/>
    </row>
    <row r="65" spans="1:42">
      <c r="A65" s="590"/>
      <c r="B65" s="591"/>
      <c r="C65" s="591"/>
      <c r="D65" s="592"/>
      <c r="E65" s="1033"/>
      <c r="F65" s="1034"/>
      <c r="G65" s="1035"/>
      <c r="O65" s="26"/>
    </row>
    <row r="66" spans="1:42">
      <c r="A66" s="590" t="s">
        <v>154</v>
      </c>
      <c r="B66" s="591"/>
      <c r="C66" s="591"/>
      <c r="D66" s="592"/>
      <c r="E66" s="1033"/>
      <c r="F66" s="1034">
        <f>'[4]Pronosticos Publicados 2013-16 '!I45</f>
        <v>9.5</v>
      </c>
      <c r="G66" s="1035">
        <f>AVERAGE(E66:F66)</f>
        <v>9.5</v>
      </c>
      <c r="O66" s="26"/>
    </row>
    <row r="67" spans="1:42">
      <c r="A67" s="590" t="s">
        <v>155</v>
      </c>
      <c r="B67" s="591"/>
      <c r="C67" s="591"/>
      <c r="D67" s="592"/>
      <c r="E67" s="1033"/>
      <c r="F67" s="1034"/>
      <c r="G67" s="1035"/>
      <c r="O67" s="26"/>
    </row>
    <row r="68" spans="1:42">
      <c r="A68" s="590" t="s">
        <v>110</v>
      </c>
      <c r="B68" s="591"/>
      <c r="C68" s="591"/>
      <c r="D68" s="592"/>
      <c r="E68" s="1033">
        <f>'[4]Pronosticos Publicados 2013-16 '!G44</f>
        <v>8</v>
      </c>
      <c r="F68" s="1034">
        <f>'[4]Pronosticos Publicados 2013-16 '!I44</f>
        <v>9.3000000000000007</v>
      </c>
      <c r="G68" s="1035">
        <f>AVERAGE(E68:F68)</f>
        <v>8.65</v>
      </c>
      <c r="O68" s="26"/>
    </row>
    <row r="69" spans="1:42">
      <c r="A69" s="590" t="s">
        <v>350</v>
      </c>
      <c r="B69" s="591"/>
      <c r="C69" s="591"/>
      <c r="D69" s="592"/>
      <c r="E69" s="1033"/>
      <c r="F69" s="1034"/>
      <c r="G69" s="1035"/>
      <c r="O69" s="26"/>
    </row>
    <row r="70" spans="1:42">
      <c r="A70" s="590" t="s">
        <v>152</v>
      </c>
      <c r="B70" s="591"/>
      <c r="C70" s="591"/>
      <c r="D70" s="592"/>
      <c r="E70" s="1033"/>
      <c r="F70" s="1034">
        <f>'[4]Pronosticos Publicados 2013-16 '!I49</f>
        <v>9</v>
      </c>
      <c r="G70" s="1035">
        <f>'[4]Pronosticos Publicados 2013-16 '!J49</f>
        <v>7.5</v>
      </c>
      <c r="I70" s="596"/>
      <c r="J70" s="596"/>
      <c r="K70" s="596"/>
      <c r="L70" s="596"/>
      <c r="M70" s="596"/>
      <c r="N70" s="596"/>
      <c r="O70" s="26"/>
      <c r="AG70" s="247"/>
      <c r="AH70" s="247"/>
      <c r="AI70" s="247"/>
      <c r="AJ70" s="247"/>
      <c r="AK70" s="247"/>
      <c r="AL70" s="247"/>
      <c r="AM70" s="247"/>
      <c r="AN70" s="247"/>
      <c r="AO70" s="247"/>
      <c r="AP70" s="247"/>
    </row>
    <row r="71" spans="1:42">
      <c r="A71" s="590" t="s">
        <v>253</v>
      </c>
      <c r="B71" s="591"/>
      <c r="C71" s="591"/>
      <c r="D71" s="592"/>
      <c r="E71" s="1033"/>
      <c r="F71" s="1034">
        <f>'[4]Pronosticos Publicados 2013-16 '!I50</f>
        <v>9.1999999999999993</v>
      </c>
      <c r="G71" s="1035">
        <f>AVERAGE(E71:F71)</f>
        <v>9.1999999999999993</v>
      </c>
      <c r="I71" s="596"/>
      <c r="J71" s="596"/>
      <c r="K71" s="596"/>
      <c r="L71" s="596"/>
      <c r="M71" s="596"/>
      <c r="N71" s="596"/>
      <c r="O71" s="26"/>
      <c r="AG71" s="247"/>
      <c r="AH71" s="247"/>
      <c r="AI71" s="247"/>
      <c r="AJ71" s="247"/>
      <c r="AK71" s="247"/>
      <c r="AL71" s="247"/>
      <c r="AM71" s="247"/>
      <c r="AN71" s="247"/>
      <c r="AO71" s="247"/>
      <c r="AP71" s="247"/>
    </row>
    <row r="72" spans="1:42">
      <c r="A72" s="597" t="s">
        <v>408</v>
      </c>
      <c r="B72" s="591"/>
      <c r="C72" s="591"/>
      <c r="D72" s="592"/>
      <c r="E72" s="1033"/>
      <c r="F72" s="1034">
        <f>'[4]Pronosticos Publicados 2013-16 '!I57</f>
        <v>10</v>
      </c>
      <c r="G72" s="1035">
        <f>AVERAGE(D72,F72)</f>
        <v>10</v>
      </c>
      <c r="I72" s="596"/>
      <c r="J72" s="596"/>
      <c r="K72" s="596"/>
      <c r="L72" s="596"/>
      <c r="M72" s="596"/>
      <c r="N72" s="596"/>
      <c r="O72" s="26"/>
      <c r="AG72" s="247"/>
      <c r="AH72" s="247"/>
      <c r="AI72" s="247"/>
      <c r="AJ72" s="247"/>
      <c r="AK72" s="247"/>
      <c r="AL72" s="247"/>
      <c r="AM72" s="247"/>
      <c r="AN72" s="247"/>
      <c r="AO72" s="247"/>
      <c r="AP72" s="247"/>
    </row>
    <row r="73" spans="1:42">
      <c r="A73" s="288" t="s">
        <v>409</v>
      </c>
      <c r="B73" s="591"/>
      <c r="C73" s="591"/>
      <c r="D73" s="592"/>
      <c r="E73" s="1033"/>
      <c r="F73" s="1034">
        <f>'[4]Pronosticos Publicados 2013-16 '!I61</f>
        <v>8</v>
      </c>
      <c r="G73" s="1035">
        <f>AVERAGE(D73,F73)</f>
        <v>8</v>
      </c>
      <c r="I73" s="596"/>
      <c r="J73" s="596"/>
      <c r="K73" s="596"/>
      <c r="L73" s="596"/>
      <c r="M73" s="596"/>
      <c r="N73" s="596"/>
      <c r="O73" s="26"/>
      <c r="AG73" s="247"/>
      <c r="AH73" s="247"/>
      <c r="AI73" s="247"/>
      <c r="AJ73" s="247"/>
      <c r="AK73" s="247"/>
      <c r="AL73" s="247"/>
      <c r="AM73" s="247"/>
      <c r="AN73" s="247"/>
      <c r="AO73" s="247"/>
      <c r="AP73" s="247"/>
    </row>
    <row r="74" spans="1:42">
      <c r="A74" s="590" t="s">
        <v>254</v>
      </c>
      <c r="B74" s="591"/>
      <c r="C74" s="591"/>
      <c r="D74" s="592"/>
      <c r="E74" s="1033"/>
      <c r="F74" s="1034"/>
      <c r="G74" s="1035"/>
      <c r="I74" s="596"/>
      <c r="J74" s="596"/>
      <c r="K74" s="596"/>
      <c r="L74" s="596"/>
      <c r="M74" s="596"/>
      <c r="N74" s="596"/>
      <c r="O74" s="26"/>
      <c r="AG74" s="247"/>
      <c r="AH74" s="247"/>
      <c r="AI74" s="247"/>
      <c r="AJ74" s="247"/>
      <c r="AK74" s="247"/>
      <c r="AL74" s="247"/>
      <c r="AM74" s="247"/>
      <c r="AN74" s="247"/>
      <c r="AO74" s="247"/>
      <c r="AP74" s="247"/>
    </row>
    <row r="75" spans="1:42">
      <c r="A75" s="590"/>
      <c r="B75" s="591"/>
      <c r="C75" s="591"/>
      <c r="D75" s="592"/>
      <c r="E75" s="1033"/>
      <c r="F75" s="1034"/>
      <c r="G75" s="1035"/>
      <c r="I75" s="596"/>
      <c r="J75" s="596"/>
      <c r="K75" s="596"/>
      <c r="L75" s="596"/>
      <c r="M75" s="596"/>
      <c r="N75" s="596"/>
      <c r="O75" s="26"/>
      <c r="AG75" s="247"/>
      <c r="AH75" s="247"/>
      <c r="AI75" s="247"/>
      <c r="AJ75" s="247"/>
      <c r="AK75" s="247"/>
      <c r="AL75" s="247"/>
      <c r="AM75" s="247"/>
      <c r="AN75" s="247"/>
      <c r="AO75" s="247"/>
      <c r="AP75" s="247"/>
    </row>
    <row r="76" spans="1:42">
      <c r="A76" s="590" t="s">
        <v>111</v>
      </c>
      <c r="B76" s="591"/>
      <c r="C76" s="591"/>
      <c r="D76" s="592"/>
      <c r="E76" s="1033"/>
      <c r="F76" s="1034"/>
      <c r="G76" s="1035"/>
      <c r="I76" s="596"/>
      <c r="J76" s="596"/>
      <c r="K76" s="596"/>
      <c r="L76" s="596"/>
      <c r="M76" s="596"/>
      <c r="N76" s="596"/>
      <c r="O76" s="26"/>
      <c r="AG76" s="247"/>
      <c r="AH76" s="247"/>
      <c r="AI76" s="247"/>
      <c r="AJ76" s="247"/>
      <c r="AK76" s="247"/>
      <c r="AL76" s="247"/>
      <c r="AM76" s="247"/>
      <c r="AN76" s="247"/>
      <c r="AO76" s="247"/>
      <c r="AP76" s="247"/>
    </row>
    <row r="77" spans="1:42">
      <c r="A77" s="590" t="s">
        <v>112</v>
      </c>
      <c r="B77" s="591"/>
      <c r="C77" s="591"/>
      <c r="D77" s="592"/>
      <c r="E77" s="1033"/>
      <c r="F77" s="1034"/>
      <c r="G77" s="1035"/>
      <c r="H77" s="598"/>
      <c r="I77" s="598"/>
      <c r="J77" s="598"/>
      <c r="K77" s="598"/>
      <c r="L77" s="598"/>
      <c r="M77" s="598"/>
      <c r="N77" s="598"/>
      <c r="O77" s="471"/>
    </row>
    <row r="78" spans="1:42">
      <c r="A78" s="590" t="s">
        <v>113</v>
      </c>
      <c r="B78" s="591"/>
      <c r="C78" s="591"/>
      <c r="D78" s="592"/>
      <c r="E78" s="1033"/>
      <c r="F78" s="1034"/>
      <c r="G78" s="1035"/>
      <c r="O78" s="26"/>
    </row>
    <row r="79" spans="1:42">
      <c r="A79" s="599"/>
      <c r="B79" s="591"/>
      <c r="C79" s="591"/>
      <c r="D79" s="592"/>
      <c r="E79" s="1033"/>
      <c r="F79" s="1034"/>
      <c r="G79" s="1035"/>
      <c r="O79" s="26"/>
    </row>
    <row r="80" spans="1:42" ht="15.75" thickBot="1">
      <c r="A80" s="600" t="s">
        <v>114</v>
      </c>
      <c r="B80" s="601"/>
      <c r="C80" s="601"/>
      <c r="D80" s="602"/>
      <c r="E80" s="603">
        <f>AVERAGE(E48:E73)</f>
        <v>9</v>
      </c>
      <c r="F80" s="603">
        <f>AVERAGE(F48:F74)</f>
        <v>8.9375</v>
      </c>
      <c r="G80" s="604">
        <f>AVERAGE(G48:G74)</f>
        <v>8.8049999999999997</v>
      </c>
    </row>
    <row r="81" spans="1:8" ht="15">
      <c r="A81" s="605"/>
      <c r="B81" s="606"/>
      <c r="C81" s="606"/>
      <c r="D81" s="247"/>
      <c r="H81" s="596"/>
    </row>
    <row r="82" spans="1:8" ht="6.75" customHeight="1" thickBot="1">
      <c r="A82" s="607"/>
      <c r="B82" s="1036"/>
      <c r="C82" s="1036"/>
      <c r="D82" s="1014"/>
      <c r="E82" s="1037"/>
      <c r="F82" s="1038"/>
      <c r="G82" s="1039"/>
    </row>
    <row r="83" spans="1:8" ht="15">
      <c r="A83" s="608" t="s">
        <v>156</v>
      </c>
      <c r="B83" s="1040"/>
      <c r="C83" s="1040"/>
      <c r="D83" s="1040"/>
      <c r="E83" s="1041" t="e">
        <f>(SUM(E48:E74)-MAX(E48:E74)-MIN(E48:E74))/(COUNT(E48:E74)-2)</f>
        <v>#DIV/0!</v>
      </c>
      <c r="F83" s="1042">
        <f>(SUM(F48:F74)-MAX(F48:F74)-MIN(F48:F74))/(COUNT(F48:F74)-2)</f>
        <v>8.9583333333333339</v>
      </c>
      <c r="G83" s="1043">
        <f>(SUM(G48:G74)-MAX(G48:G74)-MIN(G48:G74))/(COUNT(G48:G74)-2)</f>
        <v>8.8388888888888886</v>
      </c>
      <c r="H83" s="596"/>
    </row>
    <row r="84" spans="1:8" ht="9" customHeight="1">
      <c r="A84" s="1044"/>
      <c r="B84" s="1044"/>
      <c r="C84" s="1044"/>
      <c r="D84" s="1044"/>
      <c r="E84" s="1044"/>
      <c r="F84" s="1044"/>
      <c r="G84" s="1045"/>
    </row>
    <row r="85" spans="1:8">
      <c r="A85" s="1046" t="s">
        <v>410</v>
      </c>
      <c r="B85" s="1044"/>
      <c r="C85" s="1044"/>
      <c r="D85" s="1044"/>
      <c r="E85" s="1044"/>
      <c r="F85" s="1044"/>
      <c r="G85" s="1047">
        <f>MAX(G48:G74)</f>
        <v>10.5</v>
      </c>
    </row>
    <row r="86" spans="1:8" ht="6.75" customHeight="1">
      <c r="A86" s="1044"/>
      <c r="B86" s="1044"/>
      <c r="C86" s="1044"/>
      <c r="D86" s="1044"/>
      <c r="E86" s="1044"/>
      <c r="F86" s="1044"/>
      <c r="G86" s="1045"/>
    </row>
    <row r="87" spans="1:8" ht="13.5" thickBot="1">
      <c r="A87" s="609" t="s">
        <v>411</v>
      </c>
      <c r="B87" s="610"/>
      <c r="C87" s="610"/>
      <c r="D87" s="610"/>
      <c r="E87" s="610"/>
      <c r="F87" s="610"/>
      <c r="G87" s="611">
        <f>MIN(G48:G74)</f>
        <v>6.5</v>
      </c>
    </row>
  </sheetData>
  <mergeCells count="35">
    <mergeCell ref="A41:C41"/>
    <mergeCell ref="A27:C27"/>
    <mergeCell ref="A28:C28"/>
    <mergeCell ref="A29:C29"/>
    <mergeCell ref="A30:C30"/>
    <mergeCell ref="A33:C33"/>
    <mergeCell ref="A38:C38"/>
    <mergeCell ref="A26:C26"/>
    <mergeCell ref="A15:C15"/>
    <mergeCell ref="A16:C16"/>
    <mergeCell ref="A17:C17"/>
    <mergeCell ref="A18:C18"/>
    <mergeCell ref="A19:C19"/>
    <mergeCell ref="A20:C20"/>
    <mergeCell ref="A21:C21"/>
    <mergeCell ref="A22:C22"/>
    <mergeCell ref="A23:C23"/>
    <mergeCell ref="A24:C24"/>
    <mergeCell ref="A25:C25"/>
    <mergeCell ref="A14:C14"/>
    <mergeCell ref="A5:P5"/>
    <mergeCell ref="O6:U6"/>
    <mergeCell ref="A7:C8"/>
    <mergeCell ref="E7:L7"/>
    <mergeCell ref="A9:C9"/>
    <mergeCell ref="A10:C10"/>
    <mergeCell ref="A11:C11"/>
    <mergeCell ref="A12:C12"/>
    <mergeCell ref="A13:C13"/>
    <mergeCell ref="AC7:AO7"/>
    <mergeCell ref="Q8:Q9"/>
    <mergeCell ref="S8:S9"/>
    <mergeCell ref="U8:U9"/>
    <mergeCell ref="Y8:Y9"/>
    <mergeCell ref="AM8:AQ8"/>
  </mergeCells>
  <printOptions horizontalCentered="1" verticalCentered="1"/>
  <pageMargins left="0.39370078740157483" right="0.39370078740157483" top="0.98425196850393704" bottom="0.78740157480314965" header="0.59055118110236227" footer="0.39370078740157483"/>
  <pageSetup scale="49" fitToWidth="2" orientation="landscape" cellComments="asDisplayed" r:id="rId1"/>
  <headerFooter alignWithMargins="0">
    <oddHeader xml:space="preserve">&amp;C&amp;"Arial,Negrita"&amp;36PRONOSTICO DEL PIB TENDENCIAL HISTORICO&amp;24
&amp;"Arial,Normal"(Millones de balboas de 1996)&amp;16 </oddHeader>
    <oddFooter>&amp;L&amp;8ESTUDIO BASICO DE LA DEMANDA  2008-2022 CCB&amp;R&amp;8&amp;F/ &amp;A</oddFooter>
  </headerFooter>
  <rowBreaks count="1" manualBreakCount="1">
    <brk id="79" max="16383" man="1"/>
  </rowBreaks>
  <legacyDrawing r:id="rId2"/>
</worksheet>
</file>

<file path=xl/worksheets/sheet6.xml><?xml version="1.0" encoding="utf-8"?>
<worksheet xmlns="http://schemas.openxmlformats.org/spreadsheetml/2006/main" xmlns:r="http://schemas.openxmlformats.org/officeDocument/2006/relationships">
  <sheetPr>
    <tabColor rgb="FFFFFF00"/>
    <pageSetUpPr fitToPage="1"/>
  </sheetPr>
  <dimension ref="B2:S53"/>
  <sheetViews>
    <sheetView topLeftCell="B4" workbookViewId="0">
      <pane xSplit="3" topLeftCell="H1" activePane="topRight" state="frozen"/>
      <selection activeCell="B12" sqref="B12"/>
      <selection pane="topRight" activeCell="C2" sqref="C2:L2"/>
    </sheetView>
  </sheetViews>
  <sheetFormatPr baseColWidth="10" defaultRowHeight="12.75"/>
  <cols>
    <col min="1" max="1" width="6.5703125" style="238" customWidth="1"/>
    <col min="2" max="2" width="1.7109375" style="238" customWidth="1"/>
    <col min="3" max="3" width="40.85546875" style="238" customWidth="1"/>
    <col min="4" max="4" width="14.42578125" style="238" customWidth="1"/>
    <col min="5" max="5" width="12.85546875" style="238" customWidth="1"/>
    <col min="6" max="6" width="13.7109375" style="238" customWidth="1"/>
    <col min="7" max="7" width="13" style="238" customWidth="1"/>
    <col min="8" max="9" width="12.42578125" style="238" customWidth="1"/>
    <col min="10" max="10" width="13" style="238" customWidth="1"/>
    <col min="11" max="11" width="12.42578125" style="238" customWidth="1"/>
    <col min="12" max="12" width="15.140625" style="238" customWidth="1"/>
    <col min="13" max="13" width="2" style="238" customWidth="1"/>
    <col min="14" max="14" width="11.42578125" style="238"/>
    <col min="15" max="15" width="2.42578125" style="238" customWidth="1"/>
    <col min="16" max="16" width="16.85546875" style="238" customWidth="1"/>
    <col min="17" max="17" width="2" style="238" customWidth="1"/>
    <col min="18" max="18" width="11.42578125" style="238"/>
    <col min="19" max="19" width="13.140625" style="238" customWidth="1"/>
    <col min="20" max="256" width="11.42578125" style="238"/>
    <col min="257" max="257" width="6.5703125" style="238" customWidth="1"/>
    <col min="258" max="258" width="1.7109375" style="238" customWidth="1"/>
    <col min="259" max="259" width="40.85546875" style="238" customWidth="1"/>
    <col min="260" max="260" width="14.42578125" style="238" customWidth="1"/>
    <col min="261" max="261" width="12.85546875" style="238" customWidth="1"/>
    <col min="262" max="262" width="13.7109375" style="238" customWidth="1"/>
    <col min="263" max="263" width="13" style="238" customWidth="1"/>
    <col min="264" max="265" width="12.42578125" style="238" customWidth="1"/>
    <col min="266" max="266" width="13" style="238" customWidth="1"/>
    <col min="267" max="267" width="12.42578125" style="238" customWidth="1"/>
    <col min="268" max="268" width="15.140625" style="238" customWidth="1"/>
    <col min="269" max="269" width="2" style="238" customWidth="1"/>
    <col min="270" max="270" width="11.42578125" style="238"/>
    <col min="271" max="271" width="2.42578125" style="238" customWidth="1"/>
    <col min="272" max="272" width="16.85546875" style="238" customWidth="1"/>
    <col min="273" max="273" width="2" style="238" customWidth="1"/>
    <col min="274" max="274" width="11.42578125" style="238"/>
    <col min="275" max="275" width="13.140625" style="238" customWidth="1"/>
    <col min="276" max="512" width="11.42578125" style="238"/>
    <col min="513" max="513" width="6.5703125" style="238" customWidth="1"/>
    <col min="514" max="514" width="1.7109375" style="238" customWidth="1"/>
    <col min="515" max="515" width="40.85546875" style="238" customWidth="1"/>
    <col min="516" max="516" width="14.42578125" style="238" customWidth="1"/>
    <col min="517" max="517" width="12.85546875" style="238" customWidth="1"/>
    <col min="518" max="518" width="13.7109375" style="238" customWidth="1"/>
    <col min="519" max="519" width="13" style="238" customWidth="1"/>
    <col min="520" max="521" width="12.42578125" style="238" customWidth="1"/>
    <col min="522" max="522" width="13" style="238" customWidth="1"/>
    <col min="523" max="523" width="12.42578125" style="238" customWidth="1"/>
    <col min="524" max="524" width="15.140625" style="238" customWidth="1"/>
    <col min="525" max="525" width="2" style="238" customWidth="1"/>
    <col min="526" max="526" width="11.42578125" style="238"/>
    <col min="527" max="527" width="2.42578125" style="238" customWidth="1"/>
    <col min="528" max="528" width="16.85546875" style="238" customWidth="1"/>
    <col min="529" max="529" width="2" style="238" customWidth="1"/>
    <col min="530" max="530" width="11.42578125" style="238"/>
    <col min="531" max="531" width="13.140625" style="238" customWidth="1"/>
    <col min="532" max="768" width="11.42578125" style="238"/>
    <col min="769" max="769" width="6.5703125" style="238" customWidth="1"/>
    <col min="770" max="770" width="1.7109375" style="238" customWidth="1"/>
    <col min="771" max="771" width="40.85546875" style="238" customWidth="1"/>
    <col min="772" max="772" width="14.42578125" style="238" customWidth="1"/>
    <col min="773" max="773" width="12.85546875" style="238" customWidth="1"/>
    <col min="774" max="774" width="13.7109375" style="238" customWidth="1"/>
    <col min="775" max="775" width="13" style="238" customWidth="1"/>
    <col min="776" max="777" width="12.42578125" style="238" customWidth="1"/>
    <col min="778" max="778" width="13" style="238" customWidth="1"/>
    <col min="779" max="779" width="12.42578125" style="238" customWidth="1"/>
    <col min="780" max="780" width="15.140625" style="238" customWidth="1"/>
    <col min="781" max="781" width="2" style="238" customWidth="1"/>
    <col min="782" max="782" width="11.42578125" style="238"/>
    <col min="783" max="783" width="2.42578125" style="238" customWidth="1"/>
    <col min="784" max="784" width="16.85546875" style="238" customWidth="1"/>
    <col min="785" max="785" width="2" style="238" customWidth="1"/>
    <col min="786" max="786" width="11.42578125" style="238"/>
    <col min="787" max="787" width="13.140625" style="238" customWidth="1"/>
    <col min="788" max="1024" width="11.42578125" style="238"/>
    <col min="1025" max="1025" width="6.5703125" style="238" customWidth="1"/>
    <col min="1026" max="1026" width="1.7109375" style="238" customWidth="1"/>
    <col min="1027" max="1027" width="40.85546875" style="238" customWidth="1"/>
    <col min="1028" max="1028" width="14.42578125" style="238" customWidth="1"/>
    <col min="1029" max="1029" width="12.85546875" style="238" customWidth="1"/>
    <col min="1030" max="1030" width="13.7109375" style="238" customWidth="1"/>
    <col min="1031" max="1031" width="13" style="238" customWidth="1"/>
    <col min="1032" max="1033" width="12.42578125" style="238" customWidth="1"/>
    <col min="1034" max="1034" width="13" style="238" customWidth="1"/>
    <col min="1035" max="1035" width="12.42578125" style="238" customWidth="1"/>
    <col min="1036" max="1036" width="15.140625" style="238" customWidth="1"/>
    <col min="1037" max="1037" width="2" style="238" customWidth="1"/>
    <col min="1038" max="1038" width="11.42578125" style="238"/>
    <col min="1039" max="1039" width="2.42578125" style="238" customWidth="1"/>
    <col min="1040" max="1040" width="16.85546875" style="238" customWidth="1"/>
    <col min="1041" max="1041" width="2" style="238" customWidth="1"/>
    <col min="1042" max="1042" width="11.42578125" style="238"/>
    <col min="1043" max="1043" width="13.140625" style="238" customWidth="1"/>
    <col min="1044" max="1280" width="11.42578125" style="238"/>
    <col min="1281" max="1281" width="6.5703125" style="238" customWidth="1"/>
    <col min="1282" max="1282" width="1.7109375" style="238" customWidth="1"/>
    <col min="1283" max="1283" width="40.85546875" style="238" customWidth="1"/>
    <col min="1284" max="1284" width="14.42578125" style="238" customWidth="1"/>
    <col min="1285" max="1285" width="12.85546875" style="238" customWidth="1"/>
    <col min="1286" max="1286" width="13.7109375" style="238" customWidth="1"/>
    <col min="1287" max="1287" width="13" style="238" customWidth="1"/>
    <col min="1288" max="1289" width="12.42578125" style="238" customWidth="1"/>
    <col min="1290" max="1290" width="13" style="238" customWidth="1"/>
    <col min="1291" max="1291" width="12.42578125" style="238" customWidth="1"/>
    <col min="1292" max="1292" width="15.140625" style="238" customWidth="1"/>
    <col min="1293" max="1293" width="2" style="238" customWidth="1"/>
    <col min="1294" max="1294" width="11.42578125" style="238"/>
    <col min="1295" max="1295" width="2.42578125" style="238" customWidth="1"/>
    <col min="1296" max="1296" width="16.85546875" style="238" customWidth="1"/>
    <col min="1297" max="1297" width="2" style="238" customWidth="1"/>
    <col min="1298" max="1298" width="11.42578125" style="238"/>
    <col min="1299" max="1299" width="13.140625" style="238" customWidth="1"/>
    <col min="1300" max="1536" width="11.42578125" style="238"/>
    <col min="1537" max="1537" width="6.5703125" style="238" customWidth="1"/>
    <col min="1538" max="1538" width="1.7109375" style="238" customWidth="1"/>
    <col min="1539" max="1539" width="40.85546875" style="238" customWidth="1"/>
    <col min="1540" max="1540" width="14.42578125" style="238" customWidth="1"/>
    <col min="1541" max="1541" width="12.85546875" style="238" customWidth="1"/>
    <col min="1542" max="1542" width="13.7109375" style="238" customWidth="1"/>
    <col min="1543" max="1543" width="13" style="238" customWidth="1"/>
    <col min="1544" max="1545" width="12.42578125" style="238" customWidth="1"/>
    <col min="1546" max="1546" width="13" style="238" customWidth="1"/>
    <col min="1547" max="1547" width="12.42578125" style="238" customWidth="1"/>
    <col min="1548" max="1548" width="15.140625" style="238" customWidth="1"/>
    <col min="1549" max="1549" width="2" style="238" customWidth="1"/>
    <col min="1550" max="1550" width="11.42578125" style="238"/>
    <col min="1551" max="1551" width="2.42578125" style="238" customWidth="1"/>
    <col min="1552" max="1552" width="16.85546875" style="238" customWidth="1"/>
    <col min="1553" max="1553" width="2" style="238" customWidth="1"/>
    <col min="1554" max="1554" width="11.42578125" style="238"/>
    <col min="1555" max="1555" width="13.140625" style="238" customWidth="1"/>
    <col min="1556" max="1792" width="11.42578125" style="238"/>
    <col min="1793" max="1793" width="6.5703125" style="238" customWidth="1"/>
    <col min="1794" max="1794" width="1.7109375" style="238" customWidth="1"/>
    <col min="1795" max="1795" width="40.85546875" style="238" customWidth="1"/>
    <col min="1796" max="1796" width="14.42578125" style="238" customWidth="1"/>
    <col min="1797" max="1797" width="12.85546875" style="238" customWidth="1"/>
    <col min="1798" max="1798" width="13.7109375" style="238" customWidth="1"/>
    <col min="1799" max="1799" width="13" style="238" customWidth="1"/>
    <col min="1800" max="1801" width="12.42578125" style="238" customWidth="1"/>
    <col min="1802" max="1802" width="13" style="238" customWidth="1"/>
    <col min="1803" max="1803" width="12.42578125" style="238" customWidth="1"/>
    <col min="1804" max="1804" width="15.140625" style="238" customWidth="1"/>
    <col min="1805" max="1805" width="2" style="238" customWidth="1"/>
    <col min="1806" max="1806" width="11.42578125" style="238"/>
    <col min="1807" max="1807" width="2.42578125" style="238" customWidth="1"/>
    <col min="1808" max="1808" width="16.85546875" style="238" customWidth="1"/>
    <col min="1809" max="1809" width="2" style="238" customWidth="1"/>
    <col min="1810" max="1810" width="11.42578125" style="238"/>
    <col min="1811" max="1811" width="13.140625" style="238" customWidth="1"/>
    <col min="1812" max="2048" width="11.42578125" style="238"/>
    <col min="2049" max="2049" width="6.5703125" style="238" customWidth="1"/>
    <col min="2050" max="2050" width="1.7109375" style="238" customWidth="1"/>
    <col min="2051" max="2051" width="40.85546875" style="238" customWidth="1"/>
    <col min="2052" max="2052" width="14.42578125" style="238" customWidth="1"/>
    <col min="2053" max="2053" width="12.85546875" style="238" customWidth="1"/>
    <col min="2054" max="2054" width="13.7109375" style="238" customWidth="1"/>
    <col min="2055" max="2055" width="13" style="238" customWidth="1"/>
    <col min="2056" max="2057" width="12.42578125" style="238" customWidth="1"/>
    <col min="2058" max="2058" width="13" style="238" customWidth="1"/>
    <col min="2059" max="2059" width="12.42578125" style="238" customWidth="1"/>
    <col min="2060" max="2060" width="15.140625" style="238" customWidth="1"/>
    <col min="2061" max="2061" width="2" style="238" customWidth="1"/>
    <col min="2062" max="2062" width="11.42578125" style="238"/>
    <col min="2063" max="2063" width="2.42578125" style="238" customWidth="1"/>
    <col min="2064" max="2064" width="16.85546875" style="238" customWidth="1"/>
    <col min="2065" max="2065" width="2" style="238" customWidth="1"/>
    <col min="2066" max="2066" width="11.42578125" style="238"/>
    <col min="2067" max="2067" width="13.140625" style="238" customWidth="1"/>
    <col min="2068" max="2304" width="11.42578125" style="238"/>
    <col min="2305" max="2305" width="6.5703125" style="238" customWidth="1"/>
    <col min="2306" max="2306" width="1.7109375" style="238" customWidth="1"/>
    <col min="2307" max="2307" width="40.85546875" style="238" customWidth="1"/>
    <col min="2308" max="2308" width="14.42578125" style="238" customWidth="1"/>
    <col min="2309" max="2309" width="12.85546875" style="238" customWidth="1"/>
    <col min="2310" max="2310" width="13.7109375" style="238" customWidth="1"/>
    <col min="2311" max="2311" width="13" style="238" customWidth="1"/>
    <col min="2312" max="2313" width="12.42578125" style="238" customWidth="1"/>
    <col min="2314" max="2314" width="13" style="238" customWidth="1"/>
    <col min="2315" max="2315" width="12.42578125" style="238" customWidth="1"/>
    <col min="2316" max="2316" width="15.140625" style="238" customWidth="1"/>
    <col min="2317" max="2317" width="2" style="238" customWidth="1"/>
    <col min="2318" max="2318" width="11.42578125" style="238"/>
    <col min="2319" max="2319" width="2.42578125" style="238" customWidth="1"/>
    <col min="2320" max="2320" width="16.85546875" style="238" customWidth="1"/>
    <col min="2321" max="2321" width="2" style="238" customWidth="1"/>
    <col min="2322" max="2322" width="11.42578125" style="238"/>
    <col min="2323" max="2323" width="13.140625" style="238" customWidth="1"/>
    <col min="2324" max="2560" width="11.42578125" style="238"/>
    <col min="2561" max="2561" width="6.5703125" style="238" customWidth="1"/>
    <col min="2562" max="2562" width="1.7109375" style="238" customWidth="1"/>
    <col min="2563" max="2563" width="40.85546875" style="238" customWidth="1"/>
    <col min="2564" max="2564" width="14.42578125" style="238" customWidth="1"/>
    <col min="2565" max="2565" width="12.85546875" style="238" customWidth="1"/>
    <col min="2566" max="2566" width="13.7109375" style="238" customWidth="1"/>
    <col min="2567" max="2567" width="13" style="238" customWidth="1"/>
    <col min="2568" max="2569" width="12.42578125" style="238" customWidth="1"/>
    <col min="2570" max="2570" width="13" style="238" customWidth="1"/>
    <col min="2571" max="2571" width="12.42578125" style="238" customWidth="1"/>
    <col min="2572" max="2572" width="15.140625" style="238" customWidth="1"/>
    <col min="2573" max="2573" width="2" style="238" customWidth="1"/>
    <col min="2574" max="2574" width="11.42578125" style="238"/>
    <col min="2575" max="2575" width="2.42578125" style="238" customWidth="1"/>
    <col min="2576" max="2576" width="16.85546875" style="238" customWidth="1"/>
    <col min="2577" max="2577" width="2" style="238" customWidth="1"/>
    <col min="2578" max="2578" width="11.42578125" style="238"/>
    <col min="2579" max="2579" width="13.140625" style="238" customWidth="1"/>
    <col min="2580" max="2816" width="11.42578125" style="238"/>
    <col min="2817" max="2817" width="6.5703125" style="238" customWidth="1"/>
    <col min="2818" max="2818" width="1.7109375" style="238" customWidth="1"/>
    <col min="2819" max="2819" width="40.85546875" style="238" customWidth="1"/>
    <col min="2820" max="2820" width="14.42578125" style="238" customWidth="1"/>
    <col min="2821" max="2821" width="12.85546875" style="238" customWidth="1"/>
    <col min="2822" max="2822" width="13.7109375" style="238" customWidth="1"/>
    <col min="2823" max="2823" width="13" style="238" customWidth="1"/>
    <col min="2824" max="2825" width="12.42578125" style="238" customWidth="1"/>
    <col min="2826" max="2826" width="13" style="238" customWidth="1"/>
    <col min="2827" max="2827" width="12.42578125" style="238" customWidth="1"/>
    <col min="2828" max="2828" width="15.140625" style="238" customWidth="1"/>
    <col min="2829" max="2829" width="2" style="238" customWidth="1"/>
    <col min="2830" max="2830" width="11.42578125" style="238"/>
    <col min="2831" max="2831" width="2.42578125" style="238" customWidth="1"/>
    <col min="2832" max="2832" width="16.85546875" style="238" customWidth="1"/>
    <col min="2833" max="2833" width="2" style="238" customWidth="1"/>
    <col min="2834" max="2834" width="11.42578125" style="238"/>
    <col min="2835" max="2835" width="13.140625" style="238" customWidth="1"/>
    <col min="2836" max="3072" width="11.42578125" style="238"/>
    <col min="3073" max="3073" width="6.5703125" style="238" customWidth="1"/>
    <col min="3074" max="3074" width="1.7109375" style="238" customWidth="1"/>
    <col min="3075" max="3075" width="40.85546875" style="238" customWidth="1"/>
    <col min="3076" max="3076" width="14.42578125" style="238" customWidth="1"/>
    <col min="3077" max="3077" width="12.85546875" style="238" customWidth="1"/>
    <col min="3078" max="3078" width="13.7109375" style="238" customWidth="1"/>
    <col min="3079" max="3079" width="13" style="238" customWidth="1"/>
    <col min="3080" max="3081" width="12.42578125" style="238" customWidth="1"/>
    <col min="3082" max="3082" width="13" style="238" customWidth="1"/>
    <col min="3083" max="3083" width="12.42578125" style="238" customWidth="1"/>
    <col min="3084" max="3084" width="15.140625" style="238" customWidth="1"/>
    <col min="3085" max="3085" width="2" style="238" customWidth="1"/>
    <col min="3086" max="3086" width="11.42578125" style="238"/>
    <col min="3087" max="3087" width="2.42578125" style="238" customWidth="1"/>
    <col min="3088" max="3088" width="16.85546875" style="238" customWidth="1"/>
    <col min="3089" max="3089" width="2" style="238" customWidth="1"/>
    <col min="3090" max="3090" width="11.42578125" style="238"/>
    <col min="3091" max="3091" width="13.140625" style="238" customWidth="1"/>
    <col min="3092" max="3328" width="11.42578125" style="238"/>
    <col min="3329" max="3329" width="6.5703125" style="238" customWidth="1"/>
    <col min="3330" max="3330" width="1.7109375" style="238" customWidth="1"/>
    <col min="3331" max="3331" width="40.85546875" style="238" customWidth="1"/>
    <col min="3332" max="3332" width="14.42578125" style="238" customWidth="1"/>
    <col min="3333" max="3333" width="12.85546875" style="238" customWidth="1"/>
    <col min="3334" max="3334" width="13.7109375" style="238" customWidth="1"/>
    <col min="3335" max="3335" width="13" style="238" customWidth="1"/>
    <col min="3336" max="3337" width="12.42578125" style="238" customWidth="1"/>
    <col min="3338" max="3338" width="13" style="238" customWidth="1"/>
    <col min="3339" max="3339" width="12.42578125" style="238" customWidth="1"/>
    <col min="3340" max="3340" width="15.140625" style="238" customWidth="1"/>
    <col min="3341" max="3341" width="2" style="238" customWidth="1"/>
    <col min="3342" max="3342" width="11.42578125" style="238"/>
    <col min="3343" max="3343" width="2.42578125" style="238" customWidth="1"/>
    <col min="3344" max="3344" width="16.85546875" style="238" customWidth="1"/>
    <col min="3345" max="3345" width="2" style="238" customWidth="1"/>
    <col min="3346" max="3346" width="11.42578125" style="238"/>
    <col min="3347" max="3347" width="13.140625" style="238" customWidth="1"/>
    <col min="3348" max="3584" width="11.42578125" style="238"/>
    <col min="3585" max="3585" width="6.5703125" style="238" customWidth="1"/>
    <col min="3586" max="3586" width="1.7109375" style="238" customWidth="1"/>
    <col min="3587" max="3587" width="40.85546875" style="238" customWidth="1"/>
    <col min="3588" max="3588" width="14.42578125" style="238" customWidth="1"/>
    <col min="3589" max="3589" width="12.85546875" style="238" customWidth="1"/>
    <col min="3590" max="3590" width="13.7109375" style="238" customWidth="1"/>
    <col min="3591" max="3591" width="13" style="238" customWidth="1"/>
    <col min="3592" max="3593" width="12.42578125" style="238" customWidth="1"/>
    <col min="3594" max="3594" width="13" style="238" customWidth="1"/>
    <col min="3595" max="3595" width="12.42578125" style="238" customWidth="1"/>
    <col min="3596" max="3596" width="15.140625" style="238" customWidth="1"/>
    <col min="3597" max="3597" width="2" style="238" customWidth="1"/>
    <col min="3598" max="3598" width="11.42578125" style="238"/>
    <col min="3599" max="3599" width="2.42578125" style="238" customWidth="1"/>
    <col min="3600" max="3600" width="16.85546875" style="238" customWidth="1"/>
    <col min="3601" max="3601" width="2" style="238" customWidth="1"/>
    <col min="3602" max="3602" width="11.42578125" style="238"/>
    <col min="3603" max="3603" width="13.140625" style="238" customWidth="1"/>
    <col min="3604" max="3840" width="11.42578125" style="238"/>
    <col min="3841" max="3841" width="6.5703125" style="238" customWidth="1"/>
    <col min="3842" max="3842" width="1.7109375" style="238" customWidth="1"/>
    <col min="3843" max="3843" width="40.85546875" style="238" customWidth="1"/>
    <col min="3844" max="3844" width="14.42578125" style="238" customWidth="1"/>
    <col min="3845" max="3845" width="12.85546875" style="238" customWidth="1"/>
    <col min="3846" max="3846" width="13.7109375" style="238" customWidth="1"/>
    <col min="3847" max="3847" width="13" style="238" customWidth="1"/>
    <col min="3848" max="3849" width="12.42578125" style="238" customWidth="1"/>
    <col min="3850" max="3850" width="13" style="238" customWidth="1"/>
    <col min="3851" max="3851" width="12.42578125" style="238" customWidth="1"/>
    <col min="3852" max="3852" width="15.140625" style="238" customWidth="1"/>
    <col min="3853" max="3853" width="2" style="238" customWidth="1"/>
    <col min="3854" max="3854" width="11.42578125" style="238"/>
    <col min="3855" max="3855" width="2.42578125" style="238" customWidth="1"/>
    <col min="3856" max="3856" width="16.85546875" style="238" customWidth="1"/>
    <col min="3857" max="3857" width="2" style="238" customWidth="1"/>
    <col min="3858" max="3858" width="11.42578125" style="238"/>
    <col min="3859" max="3859" width="13.140625" style="238" customWidth="1"/>
    <col min="3860" max="4096" width="11.42578125" style="238"/>
    <col min="4097" max="4097" width="6.5703125" style="238" customWidth="1"/>
    <col min="4098" max="4098" width="1.7109375" style="238" customWidth="1"/>
    <col min="4099" max="4099" width="40.85546875" style="238" customWidth="1"/>
    <col min="4100" max="4100" width="14.42578125" style="238" customWidth="1"/>
    <col min="4101" max="4101" width="12.85546875" style="238" customWidth="1"/>
    <col min="4102" max="4102" width="13.7109375" style="238" customWidth="1"/>
    <col min="4103" max="4103" width="13" style="238" customWidth="1"/>
    <col min="4104" max="4105" width="12.42578125" style="238" customWidth="1"/>
    <col min="4106" max="4106" width="13" style="238" customWidth="1"/>
    <col min="4107" max="4107" width="12.42578125" style="238" customWidth="1"/>
    <col min="4108" max="4108" width="15.140625" style="238" customWidth="1"/>
    <col min="4109" max="4109" width="2" style="238" customWidth="1"/>
    <col min="4110" max="4110" width="11.42578125" style="238"/>
    <col min="4111" max="4111" width="2.42578125" style="238" customWidth="1"/>
    <col min="4112" max="4112" width="16.85546875" style="238" customWidth="1"/>
    <col min="4113" max="4113" width="2" style="238" customWidth="1"/>
    <col min="4114" max="4114" width="11.42578125" style="238"/>
    <col min="4115" max="4115" width="13.140625" style="238" customWidth="1"/>
    <col min="4116" max="4352" width="11.42578125" style="238"/>
    <col min="4353" max="4353" width="6.5703125" style="238" customWidth="1"/>
    <col min="4354" max="4354" width="1.7109375" style="238" customWidth="1"/>
    <col min="4355" max="4355" width="40.85546875" style="238" customWidth="1"/>
    <col min="4356" max="4356" width="14.42578125" style="238" customWidth="1"/>
    <col min="4357" max="4357" width="12.85546875" style="238" customWidth="1"/>
    <col min="4358" max="4358" width="13.7109375" style="238" customWidth="1"/>
    <col min="4359" max="4359" width="13" style="238" customWidth="1"/>
    <col min="4360" max="4361" width="12.42578125" style="238" customWidth="1"/>
    <col min="4362" max="4362" width="13" style="238" customWidth="1"/>
    <col min="4363" max="4363" width="12.42578125" style="238" customWidth="1"/>
    <col min="4364" max="4364" width="15.140625" style="238" customWidth="1"/>
    <col min="4365" max="4365" width="2" style="238" customWidth="1"/>
    <col min="4366" max="4366" width="11.42578125" style="238"/>
    <col min="4367" max="4367" width="2.42578125" style="238" customWidth="1"/>
    <col min="4368" max="4368" width="16.85546875" style="238" customWidth="1"/>
    <col min="4369" max="4369" width="2" style="238" customWidth="1"/>
    <col min="4370" max="4370" width="11.42578125" style="238"/>
    <col min="4371" max="4371" width="13.140625" style="238" customWidth="1"/>
    <col min="4372" max="4608" width="11.42578125" style="238"/>
    <col min="4609" max="4609" width="6.5703125" style="238" customWidth="1"/>
    <col min="4610" max="4610" width="1.7109375" style="238" customWidth="1"/>
    <col min="4611" max="4611" width="40.85546875" style="238" customWidth="1"/>
    <col min="4612" max="4612" width="14.42578125" style="238" customWidth="1"/>
    <col min="4613" max="4613" width="12.85546875" style="238" customWidth="1"/>
    <col min="4614" max="4614" width="13.7109375" style="238" customWidth="1"/>
    <col min="4615" max="4615" width="13" style="238" customWidth="1"/>
    <col min="4616" max="4617" width="12.42578125" style="238" customWidth="1"/>
    <col min="4618" max="4618" width="13" style="238" customWidth="1"/>
    <col min="4619" max="4619" width="12.42578125" style="238" customWidth="1"/>
    <col min="4620" max="4620" width="15.140625" style="238" customWidth="1"/>
    <col min="4621" max="4621" width="2" style="238" customWidth="1"/>
    <col min="4622" max="4622" width="11.42578125" style="238"/>
    <col min="4623" max="4623" width="2.42578125" style="238" customWidth="1"/>
    <col min="4624" max="4624" width="16.85546875" style="238" customWidth="1"/>
    <col min="4625" max="4625" width="2" style="238" customWidth="1"/>
    <col min="4626" max="4626" width="11.42578125" style="238"/>
    <col min="4627" max="4627" width="13.140625" style="238" customWidth="1"/>
    <col min="4628" max="4864" width="11.42578125" style="238"/>
    <col min="4865" max="4865" width="6.5703125" style="238" customWidth="1"/>
    <col min="4866" max="4866" width="1.7109375" style="238" customWidth="1"/>
    <col min="4867" max="4867" width="40.85546875" style="238" customWidth="1"/>
    <col min="4868" max="4868" width="14.42578125" style="238" customWidth="1"/>
    <col min="4869" max="4869" width="12.85546875" style="238" customWidth="1"/>
    <col min="4870" max="4870" width="13.7109375" style="238" customWidth="1"/>
    <col min="4871" max="4871" width="13" style="238" customWidth="1"/>
    <col min="4872" max="4873" width="12.42578125" style="238" customWidth="1"/>
    <col min="4874" max="4874" width="13" style="238" customWidth="1"/>
    <col min="4875" max="4875" width="12.42578125" style="238" customWidth="1"/>
    <col min="4876" max="4876" width="15.140625" style="238" customWidth="1"/>
    <col min="4877" max="4877" width="2" style="238" customWidth="1"/>
    <col min="4878" max="4878" width="11.42578125" style="238"/>
    <col min="4879" max="4879" width="2.42578125" style="238" customWidth="1"/>
    <col min="4880" max="4880" width="16.85546875" style="238" customWidth="1"/>
    <col min="4881" max="4881" width="2" style="238" customWidth="1"/>
    <col min="4882" max="4882" width="11.42578125" style="238"/>
    <col min="4883" max="4883" width="13.140625" style="238" customWidth="1"/>
    <col min="4884" max="5120" width="11.42578125" style="238"/>
    <col min="5121" max="5121" width="6.5703125" style="238" customWidth="1"/>
    <col min="5122" max="5122" width="1.7109375" style="238" customWidth="1"/>
    <col min="5123" max="5123" width="40.85546875" style="238" customWidth="1"/>
    <col min="5124" max="5124" width="14.42578125" style="238" customWidth="1"/>
    <col min="5125" max="5125" width="12.85546875" style="238" customWidth="1"/>
    <col min="5126" max="5126" width="13.7109375" style="238" customWidth="1"/>
    <col min="5127" max="5127" width="13" style="238" customWidth="1"/>
    <col min="5128" max="5129" width="12.42578125" style="238" customWidth="1"/>
    <col min="5130" max="5130" width="13" style="238" customWidth="1"/>
    <col min="5131" max="5131" width="12.42578125" style="238" customWidth="1"/>
    <col min="5132" max="5132" width="15.140625" style="238" customWidth="1"/>
    <col min="5133" max="5133" width="2" style="238" customWidth="1"/>
    <col min="5134" max="5134" width="11.42578125" style="238"/>
    <col min="5135" max="5135" width="2.42578125" style="238" customWidth="1"/>
    <col min="5136" max="5136" width="16.85546875" style="238" customWidth="1"/>
    <col min="5137" max="5137" width="2" style="238" customWidth="1"/>
    <col min="5138" max="5138" width="11.42578125" style="238"/>
    <col min="5139" max="5139" width="13.140625" style="238" customWidth="1"/>
    <col min="5140" max="5376" width="11.42578125" style="238"/>
    <col min="5377" max="5377" width="6.5703125" style="238" customWidth="1"/>
    <col min="5378" max="5378" width="1.7109375" style="238" customWidth="1"/>
    <col min="5379" max="5379" width="40.85546875" style="238" customWidth="1"/>
    <col min="5380" max="5380" width="14.42578125" style="238" customWidth="1"/>
    <col min="5381" max="5381" width="12.85546875" style="238" customWidth="1"/>
    <col min="5382" max="5382" width="13.7109375" style="238" customWidth="1"/>
    <col min="5383" max="5383" width="13" style="238" customWidth="1"/>
    <col min="5384" max="5385" width="12.42578125" style="238" customWidth="1"/>
    <col min="5386" max="5386" width="13" style="238" customWidth="1"/>
    <col min="5387" max="5387" width="12.42578125" style="238" customWidth="1"/>
    <col min="5388" max="5388" width="15.140625" style="238" customWidth="1"/>
    <col min="5389" max="5389" width="2" style="238" customWidth="1"/>
    <col min="5390" max="5390" width="11.42578125" style="238"/>
    <col min="5391" max="5391" width="2.42578125" style="238" customWidth="1"/>
    <col min="5392" max="5392" width="16.85546875" style="238" customWidth="1"/>
    <col min="5393" max="5393" width="2" style="238" customWidth="1"/>
    <col min="5394" max="5394" width="11.42578125" style="238"/>
    <col min="5395" max="5395" width="13.140625" style="238" customWidth="1"/>
    <col min="5396" max="5632" width="11.42578125" style="238"/>
    <col min="5633" max="5633" width="6.5703125" style="238" customWidth="1"/>
    <col min="5634" max="5634" width="1.7109375" style="238" customWidth="1"/>
    <col min="5635" max="5635" width="40.85546875" style="238" customWidth="1"/>
    <col min="5636" max="5636" width="14.42578125" style="238" customWidth="1"/>
    <col min="5637" max="5637" width="12.85546875" style="238" customWidth="1"/>
    <col min="5638" max="5638" width="13.7109375" style="238" customWidth="1"/>
    <col min="5639" max="5639" width="13" style="238" customWidth="1"/>
    <col min="5640" max="5641" width="12.42578125" style="238" customWidth="1"/>
    <col min="5642" max="5642" width="13" style="238" customWidth="1"/>
    <col min="5643" max="5643" width="12.42578125" style="238" customWidth="1"/>
    <col min="5644" max="5644" width="15.140625" style="238" customWidth="1"/>
    <col min="5645" max="5645" width="2" style="238" customWidth="1"/>
    <col min="5646" max="5646" width="11.42578125" style="238"/>
    <col min="5647" max="5647" width="2.42578125" style="238" customWidth="1"/>
    <col min="5648" max="5648" width="16.85546875" style="238" customWidth="1"/>
    <col min="5649" max="5649" width="2" style="238" customWidth="1"/>
    <col min="5650" max="5650" width="11.42578125" style="238"/>
    <col min="5651" max="5651" width="13.140625" style="238" customWidth="1"/>
    <col min="5652" max="5888" width="11.42578125" style="238"/>
    <col min="5889" max="5889" width="6.5703125" style="238" customWidth="1"/>
    <col min="5890" max="5890" width="1.7109375" style="238" customWidth="1"/>
    <col min="5891" max="5891" width="40.85546875" style="238" customWidth="1"/>
    <col min="5892" max="5892" width="14.42578125" style="238" customWidth="1"/>
    <col min="5893" max="5893" width="12.85546875" style="238" customWidth="1"/>
    <col min="5894" max="5894" width="13.7109375" style="238" customWidth="1"/>
    <col min="5895" max="5895" width="13" style="238" customWidth="1"/>
    <col min="5896" max="5897" width="12.42578125" style="238" customWidth="1"/>
    <col min="5898" max="5898" width="13" style="238" customWidth="1"/>
    <col min="5899" max="5899" width="12.42578125" style="238" customWidth="1"/>
    <col min="5900" max="5900" width="15.140625" style="238" customWidth="1"/>
    <col min="5901" max="5901" width="2" style="238" customWidth="1"/>
    <col min="5902" max="5902" width="11.42578125" style="238"/>
    <col min="5903" max="5903" width="2.42578125" style="238" customWidth="1"/>
    <col min="5904" max="5904" width="16.85546875" style="238" customWidth="1"/>
    <col min="5905" max="5905" width="2" style="238" customWidth="1"/>
    <col min="5906" max="5906" width="11.42578125" style="238"/>
    <col min="5907" max="5907" width="13.140625" style="238" customWidth="1"/>
    <col min="5908" max="6144" width="11.42578125" style="238"/>
    <col min="6145" max="6145" width="6.5703125" style="238" customWidth="1"/>
    <col min="6146" max="6146" width="1.7109375" style="238" customWidth="1"/>
    <col min="6147" max="6147" width="40.85546875" style="238" customWidth="1"/>
    <col min="6148" max="6148" width="14.42578125" style="238" customWidth="1"/>
    <col min="6149" max="6149" width="12.85546875" style="238" customWidth="1"/>
    <col min="6150" max="6150" width="13.7109375" style="238" customWidth="1"/>
    <col min="6151" max="6151" width="13" style="238" customWidth="1"/>
    <col min="6152" max="6153" width="12.42578125" style="238" customWidth="1"/>
    <col min="6154" max="6154" width="13" style="238" customWidth="1"/>
    <col min="6155" max="6155" width="12.42578125" style="238" customWidth="1"/>
    <col min="6156" max="6156" width="15.140625" style="238" customWidth="1"/>
    <col min="6157" max="6157" width="2" style="238" customWidth="1"/>
    <col min="6158" max="6158" width="11.42578125" style="238"/>
    <col min="6159" max="6159" width="2.42578125" style="238" customWidth="1"/>
    <col min="6160" max="6160" width="16.85546875" style="238" customWidth="1"/>
    <col min="6161" max="6161" width="2" style="238" customWidth="1"/>
    <col min="6162" max="6162" width="11.42578125" style="238"/>
    <col min="6163" max="6163" width="13.140625" style="238" customWidth="1"/>
    <col min="6164" max="6400" width="11.42578125" style="238"/>
    <col min="6401" max="6401" width="6.5703125" style="238" customWidth="1"/>
    <col min="6402" max="6402" width="1.7109375" style="238" customWidth="1"/>
    <col min="6403" max="6403" width="40.85546875" style="238" customWidth="1"/>
    <col min="6404" max="6404" width="14.42578125" style="238" customWidth="1"/>
    <col min="6405" max="6405" width="12.85546875" style="238" customWidth="1"/>
    <col min="6406" max="6406" width="13.7109375" style="238" customWidth="1"/>
    <col min="6407" max="6407" width="13" style="238" customWidth="1"/>
    <col min="6408" max="6409" width="12.42578125" style="238" customWidth="1"/>
    <col min="6410" max="6410" width="13" style="238" customWidth="1"/>
    <col min="6411" max="6411" width="12.42578125" style="238" customWidth="1"/>
    <col min="6412" max="6412" width="15.140625" style="238" customWidth="1"/>
    <col min="6413" max="6413" width="2" style="238" customWidth="1"/>
    <col min="6414" max="6414" width="11.42578125" style="238"/>
    <col min="6415" max="6415" width="2.42578125" style="238" customWidth="1"/>
    <col min="6416" max="6416" width="16.85546875" style="238" customWidth="1"/>
    <col min="6417" max="6417" width="2" style="238" customWidth="1"/>
    <col min="6418" max="6418" width="11.42578125" style="238"/>
    <col min="6419" max="6419" width="13.140625" style="238" customWidth="1"/>
    <col min="6420" max="6656" width="11.42578125" style="238"/>
    <col min="6657" max="6657" width="6.5703125" style="238" customWidth="1"/>
    <col min="6658" max="6658" width="1.7109375" style="238" customWidth="1"/>
    <col min="6659" max="6659" width="40.85546875" style="238" customWidth="1"/>
    <col min="6660" max="6660" width="14.42578125" style="238" customWidth="1"/>
    <col min="6661" max="6661" width="12.85546875" style="238" customWidth="1"/>
    <col min="6662" max="6662" width="13.7109375" style="238" customWidth="1"/>
    <col min="6663" max="6663" width="13" style="238" customWidth="1"/>
    <col min="6664" max="6665" width="12.42578125" style="238" customWidth="1"/>
    <col min="6666" max="6666" width="13" style="238" customWidth="1"/>
    <col min="6667" max="6667" width="12.42578125" style="238" customWidth="1"/>
    <col min="6668" max="6668" width="15.140625" style="238" customWidth="1"/>
    <col min="6669" max="6669" width="2" style="238" customWidth="1"/>
    <col min="6670" max="6670" width="11.42578125" style="238"/>
    <col min="6671" max="6671" width="2.42578125" style="238" customWidth="1"/>
    <col min="6672" max="6672" width="16.85546875" style="238" customWidth="1"/>
    <col min="6673" max="6673" width="2" style="238" customWidth="1"/>
    <col min="6674" max="6674" width="11.42578125" style="238"/>
    <col min="6675" max="6675" width="13.140625" style="238" customWidth="1"/>
    <col min="6676" max="6912" width="11.42578125" style="238"/>
    <col min="6913" max="6913" width="6.5703125" style="238" customWidth="1"/>
    <col min="6914" max="6914" width="1.7109375" style="238" customWidth="1"/>
    <col min="6915" max="6915" width="40.85546875" style="238" customWidth="1"/>
    <col min="6916" max="6916" width="14.42578125" style="238" customWidth="1"/>
    <col min="6917" max="6917" width="12.85546875" style="238" customWidth="1"/>
    <col min="6918" max="6918" width="13.7109375" style="238" customWidth="1"/>
    <col min="6919" max="6919" width="13" style="238" customWidth="1"/>
    <col min="6920" max="6921" width="12.42578125" style="238" customWidth="1"/>
    <col min="6922" max="6922" width="13" style="238" customWidth="1"/>
    <col min="6923" max="6923" width="12.42578125" style="238" customWidth="1"/>
    <col min="6924" max="6924" width="15.140625" style="238" customWidth="1"/>
    <col min="6925" max="6925" width="2" style="238" customWidth="1"/>
    <col min="6926" max="6926" width="11.42578125" style="238"/>
    <col min="6927" max="6927" width="2.42578125" style="238" customWidth="1"/>
    <col min="6928" max="6928" width="16.85546875" style="238" customWidth="1"/>
    <col min="6929" max="6929" width="2" style="238" customWidth="1"/>
    <col min="6930" max="6930" width="11.42578125" style="238"/>
    <col min="6931" max="6931" width="13.140625" style="238" customWidth="1"/>
    <col min="6932" max="7168" width="11.42578125" style="238"/>
    <col min="7169" max="7169" width="6.5703125" style="238" customWidth="1"/>
    <col min="7170" max="7170" width="1.7109375" style="238" customWidth="1"/>
    <col min="7171" max="7171" width="40.85546875" style="238" customWidth="1"/>
    <col min="7172" max="7172" width="14.42578125" style="238" customWidth="1"/>
    <col min="7173" max="7173" width="12.85546875" style="238" customWidth="1"/>
    <col min="7174" max="7174" width="13.7109375" style="238" customWidth="1"/>
    <col min="7175" max="7175" width="13" style="238" customWidth="1"/>
    <col min="7176" max="7177" width="12.42578125" style="238" customWidth="1"/>
    <col min="7178" max="7178" width="13" style="238" customWidth="1"/>
    <col min="7179" max="7179" width="12.42578125" style="238" customWidth="1"/>
    <col min="7180" max="7180" width="15.140625" style="238" customWidth="1"/>
    <col min="7181" max="7181" width="2" style="238" customWidth="1"/>
    <col min="7182" max="7182" width="11.42578125" style="238"/>
    <col min="7183" max="7183" width="2.42578125" style="238" customWidth="1"/>
    <col min="7184" max="7184" width="16.85546875" style="238" customWidth="1"/>
    <col min="7185" max="7185" width="2" style="238" customWidth="1"/>
    <col min="7186" max="7186" width="11.42578125" style="238"/>
    <col min="7187" max="7187" width="13.140625" style="238" customWidth="1"/>
    <col min="7188" max="7424" width="11.42578125" style="238"/>
    <col min="7425" max="7425" width="6.5703125" style="238" customWidth="1"/>
    <col min="7426" max="7426" width="1.7109375" style="238" customWidth="1"/>
    <col min="7427" max="7427" width="40.85546875" style="238" customWidth="1"/>
    <col min="7428" max="7428" width="14.42578125" style="238" customWidth="1"/>
    <col min="7429" max="7429" width="12.85546875" style="238" customWidth="1"/>
    <col min="7430" max="7430" width="13.7109375" style="238" customWidth="1"/>
    <col min="7431" max="7431" width="13" style="238" customWidth="1"/>
    <col min="7432" max="7433" width="12.42578125" style="238" customWidth="1"/>
    <col min="7434" max="7434" width="13" style="238" customWidth="1"/>
    <col min="7435" max="7435" width="12.42578125" style="238" customWidth="1"/>
    <col min="7436" max="7436" width="15.140625" style="238" customWidth="1"/>
    <col min="7437" max="7437" width="2" style="238" customWidth="1"/>
    <col min="7438" max="7438" width="11.42578125" style="238"/>
    <col min="7439" max="7439" width="2.42578125" style="238" customWidth="1"/>
    <col min="7440" max="7440" width="16.85546875" style="238" customWidth="1"/>
    <col min="7441" max="7441" width="2" style="238" customWidth="1"/>
    <col min="7442" max="7442" width="11.42578125" style="238"/>
    <col min="7443" max="7443" width="13.140625" style="238" customWidth="1"/>
    <col min="7444" max="7680" width="11.42578125" style="238"/>
    <col min="7681" max="7681" width="6.5703125" style="238" customWidth="1"/>
    <col min="7682" max="7682" width="1.7109375" style="238" customWidth="1"/>
    <col min="7683" max="7683" width="40.85546875" style="238" customWidth="1"/>
    <col min="7684" max="7684" width="14.42578125" style="238" customWidth="1"/>
    <col min="7685" max="7685" width="12.85546875" style="238" customWidth="1"/>
    <col min="7686" max="7686" width="13.7109375" style="238" customWidth="1"/>
    <col min="7687" max="7687" width="13" style="238" customWidth="1"/>
    <col min="7688" max="7689" width="12.42578125" style="238" customWidth="1"/>
    <col min="7690" max="7690" width="13" style="238" customWidth="1"/>
    <col min="7691" max="7691" width="12.42578125" style="238" customWidth="1"/>
    <col min="7692" max="7692" width="15.140625" style="238" customWidth="1"/>
    <col min="7693" max="7693" width="2" style="238" customWidth="1"/>
    <col min="7694" max="7694" width="11.42578125" style="238"/>
    <col min="7695" max="7695" width="2.42578125" style="238" customWidth="1"/>
    <col min="7696" max="7696" width="16.85546875" style="238" customWidth="1"/>
    <col min="7697" max="7697" width="2" style="238" customWidth="1"/>
    <col min="7698" max="7698" width="11.42578125" style="238"/>
    <col min="7699" max="7699" width="13.140625" style="238" customWidth="1"/>
    <col min="7700" max="7936" width="11.42578125" style="238"/>
    <col min="7937" max="7937" width="6.5703125" style="238" customWidth="1"/>
    <col min="7938" max="7938" width="1.7109375" style="238" customWidth="1"/>
    <col min="7939" max="7939" width="40.85546875" style="238" customWidth="1"/>
    <col min="7940" max="7940" width="14.42578125" style="238" customWidth="1"/>
    <col min="7941" max="7941" width="12.85546875" style="238" customWidth="1"/>
    <col min="7942" max="7942" width="13.7109375" style="238" customWidth="1"/>
    <col min="7943" max="7943" width="13" style="238" customWidth="1"/>
    <col min="7944" max="7945" width="12.42578125" style="238" customWidth="1"/>
    <col min="7946" max="7946" width="13" style="238" customWidth="1"/>
    <col min="7947" max="7947" width="12.42578125" style="238" customWidth="1"/>
    <col min="7948" max="7948" width="15.140625" style="238" customWidth="1"/>
    <col min="7949" max="7949" width="2" style="238" customWidth="1"/>
    <col min="7950" max="7950" width="11.42578125" style="238"/>
    <col min="7951" max="7951" width="2.42578125" style="238" customWidth="1"/>
    <col min="7952" max="7952" width="16.85546875" style="238" customWidth="1"/>
    <col min="7953" max="7953" width="2" style="238" customWidth="1"/>
    <col min="7954" max="7954" width="11.42578125" style="238"/>
    <col min="7955" max="7955" width="13.140625" style="238" customWidth="1"/>
    <col min="7956" max="8192" width="11.42578125" style="238"/>
    <col min="8193" max="8193" width="6.5703125" style="238" customWidth="1"/>
    <col min="8194" max="8194" width="1.7109375" style="238" customWidth="1"/>
    <col min="8195" max="8195" width="40.85546875" style="238" customWidth="1"/>
    <col min="8196" max="8196" width="14.42578125" style="238" customWidth="1"/>
    <col min="8197" max="8197" width="12.85546875" style="238" customWidth="1"/>
    <col min="8198" max="8198" width="13.7109375" style="238" customWidth="1"/>
    <col min="8199" max="8199" width="13" style="238" customWidth="1"/>
    <col min="8200" max="8201" width="12.42578125" style="238" customWidth="1"/>
    <col min="8202" max="8202" width="13" style="238" customWidth="1"/>
    <col min="8203" max="8203" width="12.42578125" style="238" customWidth="1"/>
    <col min="8204" max="8204" width="15.140625" style="238" customWidth="1"/>
    <col min="8205" max="8205" width="2" style="238" customWidth="1"/>
    <col min="8206" max="8206" width="11.42578125" style="238"/>
    <col min="8207" max="8207" width="2.42578125" style="238" customWidth="1"/>
    <col min="8208" max="8208" width="16.85546875" style="238" customWidth="1"/>
    <col min="8209" max="8209" width="2" style="238" customWidth="1"/>
    <col min="8210" max="8210" width="11.42578125" style="238"/>
    <col min="8211" max="8211" width="13.140625" style="238" customWidth="1"/>
    <col min="8212" max="8448" width="11.42578125" style="238"/>
    <col min="8449" max="8449" width="6.5703125" style="238" customWidth="1"/>
    <col min="8450" max="8450" width="1.7109375" style="238" customWidth="1"/>
    <col min="8451" max="8451" width="40.85546875" style="238" customWidth="1"/>
    <col min="8452" max="8452" width="14.42578125" style="238" customWidth="1"/>
    <col min="8453" max="8453" width="12.85546875" style="238" customWidth="1"/>
    <col min="8454" max="8454" width="13.7109375" style="238" customWidth="1"/>
    <col min="8455" max="8455" width="13" style="238" customWidth="1"/>
    <col min="8456" max="8457" width="12.42578125" style="238" customWidth="1"/>
    <col min="8458" max="8458" width="13" style="238" customWidth="1"/>
    <col min="8459" max="8459" width="12.42578125" style="238" customWidth="1"/>
    <col min="8460" max="8460" width="15.140625" style="238" customWidth="1"/>
    <col min="8461" max="8461" width="2" style="238" customWidth="1"/>
    <col min="8462" max="8462" width="11.42578125" style="238"/>
    <col min="8463" max="8463" width="2.42578125" style="238" customWidth="1"/>
    <col min="8464" max="8464" width="16.85546875" style="238" customWidth="1"/>
    <col min="8465" max="8465" width="2" style="238" customWidth="1"/>
    <col min="8466" max="8466" width="11.42578125" style="238"/>
    <col min="8467" max="8467" width="13.140625" style="238" customWidth="1"/>
    <col min="8468" max="8704" width="11.42578125" style="238"/>
    <col min="8705" max="8705" width="6.5703125" style="238" customWidth="1"/>
    <col min="8706" max="8706" width="1.7109375" style="238" customWidth="1"/>
    <col min="8707" max="8707" width="40.85546875" style="238" customWidth="1"/>
    <col min="8708" max="8708" width="14.42578125" style="238" customWidth="1"/>
    <col min="8709" max="8709" width="12.85546875" style="238" customWidth="1"/>
    <col min="8710" max="8710" width="13.7109375" style="238" customWidth="1"/>
    <col min="8711" max="8711" width="13" style="238" customWidth="1"/>
    <col min="8712" max="8713" width="12.42578125" style="238" customWidth="1"/>
    <col min="8714" max="8714" width="13" style="238" customWidth="1"/>
    <col min="8715" max="8715" width="12.42578125" style="238" customWidth="1"/>
    <col min="8716" max="8716" width="15.140625" style="238" customWidth="1"/>
    <col min="8717" max="8717" width="2" style="238" customWidth="1"/>
    <col min="8718" max="8718" width="11.42578125" style="238"/>
    <col min="8719" max="8719" width="2.42578125" style="238" customWidth="1"/>
    <col min="8720" max="8720" width="16.85546875" style="238" customWidth="1"/>
    <col min="8721" max="8721" width="2" style="238" customWidth="1"/>
    <col min="8722" max="8722" width="11.42578125" style="238"/>
    <col min="8723" max="8723" width="13.140625" style="238" customWidth="1"/>
    <col min="8724" max="8960" width="11.42578125" style="238"/>
    <col min="8961" max="8961" width="6.5703125" style="238" customWidth="1"/>
    <col min="8962" max="8962" width="1.7109375" style="238" customWidth="1"/>
    <col min="8963" max="8963" width="40.85546875" style="238" customWidth="1"/>
    <col min="8964" max="8964" width="14.42578125" style="238" customWidth="1"/>
    <col min="8965" max="8965" width="12.85546875" style="238" customWidth="1"/>
    <col min="8966" max="8966" width="13.7109375" style="238" customWidth="1"/>
    <col min="8967" max="8967" width="13" style="238" customWidth="1"/>
    <col min="8968" max="8969" width="12.42578125" style="238" customWidth="1"/>
    <col min="8970" max="8970" width="13" style="238" customWidth="1"/>
    <col min="8971" max="8971" width="12.42578125" style="238" customWidth="1"/>
    <col min="8972" max="8972" width="15.140625" style="238" customWidth="1"/>
    <col min="8973" max="8973" width="2" style="238" customWidth="1"/>
    <col min="8974" max="8974" width="11.42578125" style="238"/>
    <col min="8975" max="8975" width="2.42578125" style="238" customWidth="1"/>
    <col min="8976" max="8976" width="16.85546875" style="238" customWidth="1"/>
    <col min="8977" max="8977" width="2" style="238" customWidth="1"/>
    <col min="8978" max="8978" width="11.42578125" style="238"/>
    <col min="8979" max="8979" width="13.140625" style="238" customWidth="1"/>
    <col min="8980" max="9216" width="11.42578125" style="238"/>
    <col min="9217" max="9217" width="6.5703125" style="238" customWidth="1"/>
    <col min="9218" max="9218" width="1.7109375" style="238" customWidth="1"/>
    <col min="9219" max="9219" width="40.85546875" style="238" customWidth="1"/>
    <col min="9220" max="9220" width="14.42578125" style="238" customWidth="1"/>
    <col min="9221" max="9221" width="12.85546875" style="238" customWidth="1"/>
    <col min="9222" max="9222" width="13.7109375" style="238" customWidth="1"/>
    <col min="9223" max="9223" width="13" style="238" customWidth="1"/>
    <col min="9224" max="9225" width="12.42578125" style="238" customWidth="1"/>
    <col min="9226" max="9226" width="13" style="238" customWidth="1"/>
    <col min="9227" max="9227" width="12.42578125" style="238" customWidth="1"/>
    <col min="9228" max="9228" width="15.140625" style="238" customWidth="1"/>
    <col min="9229" max="9229" width="2" style="238" customWidth="1"/>
    <col min="9230" max="9230" width="11.42578125" style="238"/>
    <col min="9231" max="9231" width="2.42578125" style="238" customWidth="1"/>
    <col min="9232" max="9232" width="16.85546875" style="238" customWidth="1"/>
    <col min="9233" max="9233" width="2" style="238" customWidth="1"/>
    <col min="9234" max="9234" width="11.42578125" style="238"/>
    <col min="9235" max="9235" width="13.140625" style="238" customWidth="1"/>
    <col min="9236" max="9472" width="11.42578125" style="238"/>
    <col min="9473" max="9473" width="6.5703125" style="238" customWidth="1"/>
    <col min="9474" max="9474" width="1.7109375" style="238" customWidth="1"/>
    <col min="9475" max="9475" width="40.85546875" style="238" customWidth="1"/>
    <col min="9476" max="9476" width="14.42578125" style="238" customWidth="1"/>
    <col min="9477" max="9477" width="12.85546875" style="238" customWidth="1"/>
    <col min="9478" max="9478" width="13.7109375" style="238" customWidth="1"/>
    <col min="9479" max="9479" width="13" style="238" customWidth="1"/>
    <col min="9480" max="9481" width="12.42578125" style="238" customWidth="1"/>
    <col min="9482" max="9482" width="13" style="238" customWidth="1"/>
    <col min="9483" max="9483" width="12.42578125" style="238" customWidth="1"/>
    <col min="9484" max="9484" width="15.140625" style="238" customWidth="1"/>
    <col min="9485" max="9485" width="2" style="238" customWidth="1"/>
    <col min="9486" max="9486" width="11.42578125" style="238"/>
    <col min="9487" max="9487" width="2.42578125" style="238" customWidth="1"/>
    <col min="9488" max="9488" width="16.85546875" style="238" customWidth="1"/>
    <col min="9489" max="9489" width="2" style="238" customWidth="1"/>
    <col min="9490" max="9490" width="11.42578125" style="238"/>
    <col min="9491" max="9491" width="13.140625" style="238" customWidth="1"/>
    <col min="9492" max="9728" width="11.42578125" style="238"/>
    <col min="9729" max="9729" width="6.5703125" style="238" customWidth="1"/>
    <col min="9730" max="9730" width="1.7109375" style="238" customWidth="1"/>
    <col min="9731" max="9731" width="40.85546875" style="238" customWidth="1"/>
    <col min="9732" max="9732" width="14.42578125" style="238" customWidth="1"/>
    <col min="9733" max="9733" width="12.85546875" style="238" customWidth="1"/>
    <col min="9734" max="9734" width="13.7109375" style="238" customWidth="1"/>
    <col min="9735" max="9735" width="13" style="238" customWidth="1"/>
    <col min="9736" max="9737" width="12.42578125" style="238" customWidth="1"/>
    <col min="9738" max="9738" width="13" style="238" customWidth="1"/>
    <col min="9739" max="9739" width="12.42578125" style="238" customWidth="1"/>
    <col min="9740" max="9740" width="15.140625" style="238" customWidth="1"/>
    <col min="9741" max="9741" width="2" style="238" customWidth="1"/>
    <col min="9742" max="9742" width="11.42578125" style="238"/>
    <col min="9743" max="9743" width="2.42578125" style="238" customWidth="1"/>
    <col min="9744" max="9744" width="16.85546875" style="238" customWidth="1"/>
    <col min="9745" max="9745" width="2" style="238" customWidth="1"/>
    <col min="9746" max="9746" width="11.42578125" style="238"/>
    <col min="9747" max="9747" width="13.140625" style="238" customWidth="1"/>
    <col min="9748" max="9984" width="11.42578125" style="238"/>
    <col min="9985" max="9985" width="6.5703125" style="238" customWidth="1"/>
    <col min="9986" max="9986" width="1.7109375" style="238" customWidth="1"/>
    <col min="9987" max="9987" width="40.85546875" style="238" customWidth="1"/>
    <col min="9988" max="9988" width="14.42578125" style="238" customWidth="1"/>
    <col min="9989" max="9989" width="12.85546875" style="238" customWidth="1"/>
    <col min="9990" max="9990" width="13.7109375" style="238" customWidth="1"/>
    <col min="9991" max="9991" width="13" style="238" customWidth="1"/>
    <col min="9992" max="9993" width="12.42578125" style="238" customWidth="1"/>
    <col min="9994" max="9994" width="13" style="238" customWidth="1"/>
    <col min="9995" max="9995" width="12.42578125" style="238" customWidth="1"/>
    <col min="9996" max="9996" width="15.140625" style="238" customWidth="1"/>
    <col min="9997" max="9997" width="2" style="238" customWidth="1"/>
    <col min="9998" max="9998" width="11.42578125" style="238"/>
    <col min="9999" max="9999" width="2.42578125" style="238" customWidth="1"/>
    <col min="10000" max="10000" width="16.85546875" style="238" customWidth="1"/>
    <col min="10001" max="10001" width="2" style="238" customWidth="1"/>
    <col min="10002" max="10002" width="11.42578125" style="238"/>
    <col min="10003" max="10003" width="13.140625" style="238" customWidth="1"/>
    <col min="10004" max="10240" width="11.42578125" style="238"/>
    <col min="10241" max="10241" width="6.5703125" style="238" customWidth="1"/>
    <col min="10242" max="10242" width="1.7109375" style="238" customWidth="1"/>
    <col min="10243" max="10243" width="40.85546875" style="238" customWidth="1"/>
    <col min="10244" max="10244" width="14.42578125" style="238" customWidth="1"/>
    <col min="10245" max="10245" width="12.85546875" style="238" customWidth="1"/>
    <col min="10246" max="10246" width="13.7109375" style="238" customWidth="1"/>
    <col min="10247" max="10247" width="13" style="238" customWidth="1"/>
    <col min="10248" max="10249" width="12.42578125" style="238" customWidth="1"/>
    <col min="10250" max="10250" width="13" style="238" customWidth="1"/>
    <col min="10251" max="10251" width="12.42578125" style="238" customWidth="1"/>
    <col min="10252" max="10252" width="15.140625" style="238" customWidth="1"/>
    <col min="10253" max="10253" width="2" style="238" customWidth="1"/>
    <col min="10254" max="10254" width="11.42578125" style="238"/>
    <col min="10255" max="10255" width="2.42578125" style="238" customWidth="1"/>
    <col min="10256" max="10256" width="16.85546875" style="238" customWidth="1"/>
    <col min="10257" max="10257" width="2" style="238" customWidth="1"/>
    <col min="10258" max="10258" width="11.42578125" style="238"/>
    <col min="10259" max="10259" width="13.140625" style="238" customWidth="1"/>
    <col min="10260" max="10496" width="11.42578125" style="238"/>
    <col min="10497" max="10497" width="6.5703125" style="238" customWidth="1"/>
    <col min="10498" max="10498" width="1.7109375" style="238" customWidth="1"/>
    <col min="10499" max="10499" width="40.85546875" style="238" customWidth="1"/>
    <col min="10500" max="10500" width="14.42578125" style="238" customWidth="1"/>
    <col min="10501" max="10501" width="12.85546875" style="238" customWidth="1"/>
    <col min="10502" max="10502" width="13.7109375" style="238" customWidth="1"/>
    <col min="10503" max="10503" width="13" style="238" customWidth="1"/>
    <col min="10504" max="10505" width="12.42578125" style="238" customWidth="1"/>
    <col min="10506" max="10506" width="13" style="238" customWidth="1"/>
    <col min="10507" max="10507" width="12.42578125" style="238" customWidth="1"/>
    <col min="10508" max="10508" width="15.140625" style="238" customWidth="1"/>
    <col min="10509" max="10509" width="2" style="238" customWidth="1"/>
    <col min="10510" max="10510" width="11.42578125" style="238"/>
    <col min="10511" max="10511" width="2.42578125" style="238" customWidth="1"/>
    <col min="10512" max="10512" width="16.85546875" style="238" customWidth="1"/>
    <col min="10513" max="10513" width="2" style="238" customWidth="1"/>
    <col min="10514" max="10514" width="11.42578125" style="238"/>
    <col min="10515" max="10515" width="13.140625" style="238" customWidth="1"/>
    <col min="10516" max="10752" width="11.42578125" style="238"/>
    <col min="10753" max="10753" width="6.5703125" style="238" customWidth="1"/>
    <col min="10754" max="10754" width="1.7109375" style="238" customWidth="1"/>
    <col min="10755" max="10755" width="40.85546875" style="238" customWidth="1"/>
    <col min="10756" max="10756" width="14.42578125" style="238" customWidth="1"/>
    <col min="10757" max="10757" width="12.85546875" style="238" customWidth="1"/>
    <col min="10758" max="10758" width="13.7109375" style="238" customWidth="1"/>
    <col min="10759" max="10759" width="13" style="238" customWidth="1"/>
    <col min="10760" max="10761" width="12.42578125" style="238" customWidth="1"/>
    <col min="10762" max="10762" width="13" style="238" customWidth="1"/>
    <col min="10763" max="10763" width="12.42578125" style="238" customWidth="1"/>
    <col min="10764" max="10764" width="15.140625" style="238" customWidth="1"/>
    <col min="10765" max="10765" width="2" style="238" customWidth="1"/>
    <col min="10766" max="10766" width="11.42578125" style="238"/>
    <col min="10767" max="10767" width="2.42578125" style="238" customWidth="1"/>
    <col min="10768" max="10768" width="16.85546875" style="238" customWidth="1"/>
    <col min="10769" max="10769" width="2" style="238" customWidth="1"/>
    <col min="10770" max="10770" width="11.42578125" style="238"/>
    <col min="10771" max="10771" width="13.140625" style="238" customWidth="1"/>
    <col min="10772" max="11008" width="11.42578125" style="238"/>
    <col min="11009" max="11009" width="6.5703125" style="238" customWidth="1"/>
    <col min="11010" max="11010" width="1.7109375" style="238" customWidth="1"/>
    <col min="11011" max="11011" width="40.85546875" style="238" customWidth="1"/>
    <col min="11012" max="11012" width="14.42578125" style="238" customWidth="1"/>
    <col min="11013" max="11013" width="12.85546875" style="238" customWidth="1"/>
    <col min="11014" max="11014" width="13.7109375" style="238" customWidth="1"/>
    <col min="11015" max="11015" width="13" style="238" customWidth="1"/>
    <col min="11016" max="11017" width="12.42578125" style="238" customWidth="1"/>
    <col min="11018" max="11018" width="13" style="238" customWidth="1"/>
    <col min="11019" max="11019" width="12.42578125" style="238" customWidth="1"/>
    <col min="11020" max="11020" width="15.140625" style="238" customWidth="1"/>
    <col min="11021" max="11021" width="2" style="238" customWidth="1"/>
    <col min="11022" max="11022" width="11.42578125" style="238"/>
    <col min="11023" max="11023" width="2.42578125" style="238" customWidth="1"/>
    <col min="11024" max="11024" width="16.85546875" style="238" customWidth="1"/>
    <col min="11025" max="11025" width="2" style="238" customWidth="1"/>
    <col min="11026" max="11026" width="11.42578125" style="238"/>
    <col min="11027" max="11027" width="13.140625" style="238" customWidth="1"/>
    <col min="11028" max="11264" width="11.42578125" style="238"/>
    <col min="11265" max="11265" width="6.5703125" style="238" customWidth="1"/>
    <col min="11266" max="11266" width="1.7109375" style="238" customWidth="1"/>
    <col min="11267" max="11267" width="40.85546875" style="238" customWidth="1"/>
    <col min="11268" max="11268" width="14.42578125" style="238" customWidth="1"/>
    <col min="11269" max="11269" width="12.85546875" style="238" customWidth="1"/>
    <col min="11270" max="11270" width="13.7109375" style="238" customWidth="1"/>
    <col min="11271" max="11271" width="13" style="238" customWidth="1"/>
    <col min="11272" max="11273" width="12.42578125" style="238" customWidth="1"/>
    <col min="11274" max="11274" width="13" style="238" customWidth="1"/>
    <col min="11275" max="11275" width="12.42578125" style="238" customWidth="1"/>
    <col min="11276" max="11276" width="15.140625" style="238" customWidth="1"/>
    <col min="11277" max="11277" width="2" style="238" customWidth="1"/>
    <col min="11278" max="11278" width="11.42578125" style="238"/>
    <col min="11279" max="11279" width="2.42578125" style="238" customWidth="1"/>
    <col min="11280" max="11280" width="16.85546875" style="238" customWidth="1"/>
    <col min="11281" max="11281" width="2" style="238" customWidth="1"/>
    <col min="11282" max="11282" width="11.42578125" style="238"/>
    <col min="11283" max="11283" width="13.140625" style="238" customWidth="1"/>
    <col min="11284" max="11520" width="11.42578125" style="238"/>
    <col min="11521" max="11521" width="6.5703125" style="238" customWidth="1"/>
    <col min="11522" max="11522" width="1.7109375" style="238" customWidth="1"/>
    <col min="11523" max="11523" width="40.85546875" style="238" customWidth="1"/>
    <col min="11524" max="11524" width="14.42578125" style="238" customWidth="1"/>
    <col min="11525" max="11525" width="12.85546875" style="238" customWidth="1"/>
    <col min="11526" max="11526" width="13.7109375" style="238" customWidth="1"/>
    <col min="11527" max="11527" width="13" style="238" customWidth="1"/>
    <col min="11528" max="11529" width="12.42578125" style="238" customWidth="1"/>
    <col min="11530" max="11530" width="13" style="238" customWidth="1"/>
    <col min="11531" max="11531" width="12.42578125" style="238" customWidth="1"/>
    <col min="11532" max="11532" width="15.140625" style="238" customWidth="1"/>
    <col min="11533" max="11533" width="2" style="238" customWidth="1"/>
    <col min="11534" max="11534" width="11.42578125" style="238"/>
    <col min="11535" max="11535" width="2.42578125" style="238" customWidth="1"/>
    <col min="11536" max="11536" width="16.85546875" style="238" customWidth="1"/>
    <col min="11537" max="11537" width="2" style="238" customWidth="1"/>
    <col min="11538" max="11538" width="11.42578125" style="238"/>
    <col min="11539" max="11539" width="13.140625" style="238" customWidth="1"/>
    <col min="11540" max="11776" width="11.42578125" style="238"/>
    <col min="11777" max="11777" width="6.5703125" style="238" customWidth="1"/>
    <col min="11778" max="11778" width="1.7109375" style="238" customWidth="1"/>
    <col min="11779" max="11779" width="40.85546875" style="238" customWidth="1"/>
    <col min="11780" max="11780" width="14.42578125" style="238" customWidth="1"/>
    <col min="11781" max="11781" width="12.85546875" style="238" customWidth="1"/>
    <col min="11782" max="11782" width="13.7109375" style="238" customWidth="1"/>
    <col min="11783" max="11783" width="13" style="238" customWidth="1"/>
    <col min="11784" max="11785" width="12.42578125" style="238" customWidth="1"/>
    <col min="11786" max="11786" width="13" style="238" customWidth="1"/>
    <col min="11787" max="11787" width="12.42578125" style="238" customWidth="1"/>
    <col min="11788" max="11788" width="15.140625" style="238" customWidth="1"/>
    <col min="11789" max="11789" width="2" style="238" customWidth="1"/>
    <col min="11790" max="11790" width="11.42578125" style="238"/>
    <col min="11791" max="11791" width="2.42578125" style="238" customWidth="1"/>
    <col min="11792" max="11792" width="16.85546875" style="238" customWidth="1"/>
    <col min="11793" max="11793" width="2" style="238" customWidth="1"/>
    <col min="11794" max="11794" width="11.42578125" style="238"/>
    <col min="11795" max="11795" width="13.140625" style="238" customWidth="1"/>
    <col min="11796" max="12032" width="11.42578125" style="238"/>
    <col min="12033" max="12033" width="6.5703125" style="238" customWidth="1"/>
    <col min="12034" max="12034" width="1.7109375" style="238" customWidth="1"/>
    <col min="12035" max="12035" width="40.85546875" style="238" customWidth="1"/>
    <col min="12036" max="12036" width="14.42578125" style="238" customWidth="1"/>
    <col min="12037" max="12037" width="12.85546875" style="238" customWidth="1"/>
    <col min="12038" max="12038" width="13.7109375" style="238" customWidth="1"/>
    <col min="12039" max="12039" width="13" style="238" customWidth="1"/>
    <col min="12040" max="12041" width="12.42578125" style="238" customWidth="1"/>
    <col min="12042" max="12042" width="13" style="238" customWidth="1"/>
    <col min="12043" max="12043" width="12.42578125" style="238" customWidth="1"/>
    <col min="12044" max="12044" width="15.140625" style="238" customWidth="1"/>
    <col min="12045" max="12045" width="2" style="238" customWidth="1"/>
    <col min="12046" max="12046" width="11.42578125" style="238"/>
    <col min="12047" max="12047" width="2.42578125" style="238" customWidth="1"/>
    <col min="12048" max="12048" width="16.85546875" style="238" customWidth="1"/>
    <col min="12049" max="12049" width="2" style="238" customWidth="1"/>
    <col min="12050" max="12050" width="11.42578125" style="238"/>
    <col min="12051" max="12051" width="13.140625" style="238" customWidth="1"/>
    <col min="12052" max="12288" width="11.42578125" style="238"/>
    <col min="12289" max="12289" width="6.5703125" style="238" customWidth="1"/>
    <col min="12290" max="12290" width="1.7109375" style="238" customWidth="1"/>
    <col min="12291" max="12291" width="40.85546875" style="238" customWidth="1"/>
    <col min="12292" max="12292" width="14.42578125" style="238" customWidth="1"/>
    <col min="12293" max="12293" width="12.85546875" style="238" customWidth="1"/>
    <col min="12294" max="12294" width="13.7109375" style="238" customWidth="1"/>
    <col min="12295" max="12295" width="13" style="238" customWidth="1"/>
    <col min="12296" max="12297" width="12.42578125" style="238" customWidth="1"/>
    <col min="12298" max="12298" width="13" style="238" customWidth="1"/>
    <col min="12299" max="12299" width="12.42578125" style="238" customWidth="1"/>
    <col min="12300" max="12300" width="15.140625" style="238" customWidth="1"/>
    <col min="12301" max="12301" width="2" style="238" customWidth="1"/>
    <col min="12302" max="12302" width="11.42578125" style="238"/>
    <col min="12303" max="12303" width="2.42578125" style="238" customWidth="1"/>
    <col min="12304" max="12304" width="16.85546875" style="238" customWidth="1"/>
    <col min="12305" max="12305" width="2" style="238" customWidth="1"/>
    <col min="12306" max="12306" width="11.42578125" style="238"/>
    <col min="12307" max="12307" width="13.140625" style="238" customWidth="1"/>
    <col min="12308" max="12544" width="11.42578125" style="238"/>
    <col min="12545" max="12545" width="6.5703125" style="238" customWidth="1"/>
    <col min="12546" max="12546" width="1.7109375" style="238" customWidth="1"/>
    <col min="12547" max="12547" width="40.85546875" style="238" customWidth="1"/>
    <col min="12548" max="12548" width="14.42578125" style="238" customWidth="1"/>
    <col min="12549" max="12549" width="12.85546875" style="238" customWidth="1"/>
    <col min="12550" max="12550" width="13.7109375" style="238" customWidth="1"/>
    <col min="12551" max="12551" width="13" style="238" customWidth="1"/>
    <col min="12552" max="12553" width="12.42578125" style="238" customWidth="1"/>
    <col min="12554" max="12554" width="13" style="238" customWidth="1"/>
    <col min="12555" max="12555" width="12.42578125" style="238" customWidth="1"/>
    <col min="12556" max="12556" width="15.140625" style="238" customWidth="1"/>
    <col min="12557" max="12557" width="2" style="238" customWidth="1"/>
    <col min="12558" max="12558" width="11.42578125" style="238"/>
    <col min="12559" max="12559" width="2.42578125" style="238" customWidth="1"/>
    <col min="12560" max="12560" width="16.85546875" style="238" customWidth="1"/>
    <col min="12561" max="12561" width="2" style="238" customWidth="1"/>
    <col min="12562" max="12562" width="11.42578125" style="238"/>
    <col min="12563" max="12563" width="13.140625" style="238" customWidth="1"/>
    <col min="12564" max="12800" width="11.42578125" style="238"/>
    <col min="12801" max="12801" width="6.5703125" style="238" customWidth="1"/>
    <col min="12802" max="12802" width="1.7109375" style="238" customWidth="1"/>
    <col min="12803" max="12803" width="40.85546875" style="238" customWidth="1"/>
    <col min="12804" max="12804" width="14.42578125" style="238" customWidth="1"/>
    <col min="12805" max="12805" width="12.85546875" style="238" customWidth="1"/>
    <col min="12806" max="12806" width="13.7109375" style="238" customWidth="1"/>
    <col min="12807" max="12807" width="13" style="238" customWidth="1"/>
    <col min="12808" max="12809" width="12.42578125" style="238" customWidth="1"/>
    <col min="12810" max="12810" width="13" style="238" customWidth="1"/>
    <col min="12811" max="12811" width="12.42578125" style="238" customWidth="1"/>
    <col min="12812" max="12812" width="15.140625" style="238" customWidth="1"/>
    <col min="12813" max="12813" width="2" style="238" customWidth="1"/>
    <col min="12814" max="12814" width="11.42578125" style="238"/>
    <col min="12815" max="12815" width="2.42578125" style="238" customWidth="1"/>
    <col min="12816" max="12816" width="16.85546875" style="238" customWidth="1"/>
    <col min="12817" max="12817" width="2" style="238" customWidth="1"/>
    <col min="12818" max="12818" width="11.42578125" style="238"/>
    <col min="12819" max="12819" width="13.140625" style="238" customWidth="1"/>
    <col min="12820" max="13056" width="11.42578125" style="238"/>
    <col min="13057" max="13057" width="6.5703125" style="238" customWidth="1"/>
    <col min="13058" max="13058" width="1.7109375" style="238" customWidth="1"/>
    <col min="13059" max="13059" width="40.85546875" style="238" customWidth="1"/>
    <col min="13060" max="13060" width="14.42578125" style="238" customWidth="1"/>
    <col min="13061" max="13061" width="12.85546875" style="238" customWidth="1"/>
    <col min="13062" max="13062" width="13.7109375" style="238" customWidth="1"/>
    <col min="13063" max="13063" width="13" style="238" customWidth="1"/>
    <col min="13064" max="13065" width="12.42578125" style="238" customWidth="1"/>
    <col min="13066" max="13066" width="13" style="238" customWidth="1"/>
    <col min="13067" max="13067" width="12.42578125" style="238" customWidth="1"/>
    <col min="13068" max="13068" width="15.140625" style="238" customWidth="1"/>
    <col min="13069" max="13069" width="2" style="238" customWidth="1"/>
    <col min="13070" max="13070" width="11.42578125" style="238"/>
    <col min="13071" max="13071" width="2.42578125" style="238" customWidth="1"/>
    <col min="13072" max="13072" width="16.85546875" style="238" customWidth="1"/>
    <col min="13073" max="13073" width="2" style="238" customWidth="1"/>
    <col min="13074" max="13074" width="11.42578125" style="238"/>
    <col min="13075" max="13075" width="13.140625" style="238" customWidth="1"/>
    <col min="13076" max="13312" width="11.42578125" style="238"/>
    <col min="13313" max="13313" width="6.5703125" style="238" customWidth="1"/>
    <col min="13314" max="13314" width="1.7109375" style="238" customWidth="1"/>
    <col min="13315" max="13315" width="40.85546875" style="238" customWidth="1"/>
    <col min="13316" max="13316" width="14.42578125" style="238" customWidth="1"/>
    <col min="13317" max="13317" width="12.85546875" style="238" customWidth="1"/>
    <col min="13318" max="13318" width="13.7109375" style="238" customWidth="1"/>
    <col min="13319" max="13319" width="13" style="238" customWidth="1"/>
    <col min="13320" max="13321" width="12.42578125" style="238" customWidth="1"/>
    <col min="13322" max="13322" width="13" style="238" customWidth="1"/>
    <col min="13323" max="13323" width="12.42578125" style="238" customWidth="1"/>
    <col min="13324" max="13324" width="15.140625" style="238" customWidth="1"/>
    <col min="13325" max="13325" width="2" style="238" customWidth="1"/>
    <col min="13326" max="13326" width="11.42578125" style="238"/>
    <col min="13327" max="13327" width="2.42578125" style="238" customWidth="1"/>
    <col min="13328" max="13328" width="16.85546875" style="238" customWidth="1"/>
    <col min="13329" max="13329" width="2" style="238" customWidth="1"/>
    <col min="13330" max="13330" width="11.42578125" style="238"/>
    <col min="13331" max="13331" width="13.140625" style="238" customWidth="1"/>
    <col min="13332" max="13568" width="11.42578125" style="238"/>
    <col min="13569" max="13569" width="6.5703125" style="238" customWidth="1"/>
    <col min="13570" max="13570" width="1.7109375" style="238" customWidth="1"/>
    <col min="13571" max="13571" width="40.85546875" style="238" customWidth="1"/>
    <col min="13572" max="13572" width="14.42578125" style="238" customWidth="1"/>
    <col min="13573" max="13573" width="12.85546875" style="238" customWidth="1"/>
    <col min="13574" max="13574" width="13.7109375" style="238" customWidth="1"/>
    <col min="13575" max="13575" width="13" style="238" customWidth="1"/>
    <col min="13576" max="13577" width="12.42578125" style="238" customWidth="1"/>
    <col min="13578" max="13578" width="13" style="238" customWidth="1"/>
    <col min="13579" max="13579" width="12.42578125" style="238" customWidth="1"/>
    <col min="13580" max="13580" width="15.140625" style="238" customWidth="1"/>
    <col min="13581" max="13581" width="2" style="238" customWidth="1"/>
    <col min="13582" max="13582" width="11.42578125" style="238"/>
    <col min="13583" max="13583" width="2.42578125" style="238" customWidth="1"/>
    <col min="13584" max="13584" width="16.85546875" style="238" customWidth="1"/>
    <col min="13585" max="13585" width="2" style="238" customWidth="1"/>
    <col min="13586" max="13586" width="11.42578125" style="238"/>
    <col min="13587" max="13587" width="13.140625" style="238" customWidth="1"/>
    <col min="13588" max="13824" width="11.42578125" style="238"/>
    <col min="13825" max="13825" width="6.5703125" style="238" customWidth="1"/>
    <col min="13826" max="13826" width="1.7109375" style="238" customWidth="1"/>
    <col min="13827" max="13827" width="40.85546875" style="238" customWidth="1"/>
    <col min="13828" max="13828" width="14.42578125" style="238" customWidth="1"/>
    <col min="13829" max="13829" width="12.85546875" style="238" customWidth="1"/>
    <col min="13830" max="13830" width="13.7109375" style="238" customWidth="1"/>
    <col min="13831" max="13831" width="13" style="238" customWidth="1"/>
    <col min="13832" max="13833" width="12.42578125" style="238" customWidth="1"/>
    <col min="13834" max="13834" width="13" style="238" customWidth="1"/>
    <col min="13835" max="13835" width="12.42578125" style="238" customWidth="1"/>
    <col min="13836" max="13836" width="15.140625" style="238" customWidth="1"/>
    <col min="13837" max="13837" width="2" style="238" customWidth="1"/>
    <col min="13838" max="13838" width="11.42578125" style="238"/>
    <col min="13839" max="13839" width="2.42578125" style="238" customWidth="1"/>
    <col min="13840" max="13840" width="16.85546875" style="238" customWidth="1"/>
    <col min="13841" max="13841" width="2" style="238" customWidth="1"/>
    <col min="13842" max="13842" width="11.42578125" style="238"/>
    <col min="13843" max="13843" width="13.140625" style="238" customWidth="1"/>
    <col min="13844" max="14080" width="11.42578125" style="238"/>
    <col min="14081" max="14081" width="6.5703125" style="238" customWidth="1"/>
    <col min="14082" max="14082" width="1.7109375" style="238" customWidth="1"/>
    <col min="14083" max="14083" width="40.85546875" style="238" customWidth="1"/>
    <col min="14084" max="14084" width="14.42578125" style="238" customWidth="1"/>
    <col min="14085" max="14085" width="12.85546875" style="238" customWidth="1"/>
    <col min="14086" max="14086" width="13.7109375" style="238" customWidth="1"/>
    <col min="14087" max="14087" width="13" style="238" customWidth="1"/>
    <col min="14088" max="14089" width="12.42578125" style="238" customWidth="1"/>
    <col min="14090" max="14090" width="13" style="238" customWidth="1"/>
    <col min="14091" max="14091" width="12.42578125" style="238" customWidth="1"/>
    <col min="14092" max="14092" width="15.140625" style="238" customWidth="1"/>
    <col min="14093" max="14093" width="2" style="238" customWidth="1"/>
    <col min="14094" max="14094" width="11.42578125" style="238"/>
    <col min="14095" max="14095" width="2.42578125" style="238" customWidth="1"/>
    <col min="14096" max="14096" width="16.85546875" style="238" customWidth="1"/>
    <col min="14097" max="14097" width="2" style="238" customWidth="1"/>
    <col min="14098" max="14098" width="11.42578125" style="238"/>
    <col min="14099" max="14099" width="13.140625" style="238" customWidth="1"/>
    <col min="14100" max="14336" width="11.42578125" style="238"/>
    <col min="14337" max="14337" width="6.5703125" style="238" customWidth="1"/>
    <col min="14338" max="14338" width="1.7109375" style="238" customWidth="1"/>
    <col min="14339" max="14339" width="40.85546875" style="238" customWidth="1"/>
    <col min="14340" max="14340" width="14.42578125" style="238" customWidth="1"/>
    <col min="14341" max="14341" width="12.85546875" style="238" customWidth="1"/>
    <col min="14342" max="14342" width="13.7109375" style="238" customWidth="1"/>
    <col min="14343" max="14343" width="13" style="238" customWidth="1"/>
    <col min="14344" max="14345" width="12.42578125" style="238" customWidth="1"/>
    <col min="14346" max="14346" width="13" style="238" customWidth="1"/>
    <col min="14347" max="14347" width="12.42578125" style="238" customWidth="1"/>
    <col min="14348" max="14348" width="15.140625" style="238" customWidth="1"/>
    <col min="14349" max="14349" width="2" style="238" customWidth="1"/>
    <col min="14350" max="14350" width="11.42578125" style="238"/>
    <col min="14351" max="14351" width="2.42578125" style="238" customWidth="1"/>
    <col min="14352" max="14352" width="16.85546875" style="238" customWidth="1"/>
    <col min="14353" max="14353" width="2" style="238" customWidth="1"/>
    <col min="14354" max="14354" width="11.42578125" style="238"/>
    <col min="14355" max="14355" width="13.140625" style="238" customWidth="1"/>
    <col min="14356" max="14592" width="11.42578125" style="238"/>
    <col min="14593" max="14593" width="6.5703125" style="238" customWidth="1"/>
    <col min="14594" max="14594" width="1.7109375" style="238" customWidth="1"/>
    <col min="14595" max="14595" width="40.85546875" style="238" customWidth="1"/>
    <col min="14596" max="14596" width="14.42578125" style="238" customWidth="1"/>
    <col min="14597" max="14597" width="12.85546875" style="238" customWidth="1"/>
    <col min="14598" max="14598" width="13.7109375" style="238" customWidth="1"/>
    <col min="14599" max="14599" width="13" style="238" customWidth="1"/>
    <col min="14600" max="14601" width="12.42578125" style="238" customWidth="1"/>
    <col min="14602" max="14602" width="13" style="238" customWidth="1"/>
    <col min="14603" max="14603" width="12.42578125" style="238" customWidth="1"/>
    <col min="14604" max="14604" width="15.140625" style="238" customWidth="1"/>
    <col min="14605" max="14605" width="2" style="238" customWidth="1"/>
    <col min="14606" max="14606" width="11.42578125" style="238"/>
    <col min="14607" max="14607" width="2.42578125" style="238" customWidth="1"/>
    <col min="14608" max="14608" width="16.85546875" style="238" customWidth="1"/>
    <col min="14609" max="14609" width="2" style="238" customWidth="1"/>
    <col min="14610" max="14610" width="11.42578125" style="238"/>
    <col min="14611" max="14611" width="13.140625" style="238" customWidth="1"/>
    <col min="14612" max="14848" width="11.42578125" style="238"/>
    <col min="14849" max="14849" width="6.5703125" style="238" customWidth="1"/>
    <col min="14850" max="14850" width="1.7109375" style="238" customWidth="1"/>
    <col min="14851" max="14851" width="40.85546875" style="238" customWidth="1"/>
    <col min="14852" max="14852" width="14.42578125" style="238" customWidth="1"/>
    <col min="14853" max="14853" width="12.85546875" style="238" customWidth="1"/>
    <col min="14854" max="14854" width="13.7109375" style="238" customWidth="1"/>
    <col min="14855" max="14855" width="13" style="238" customWidth="1"/>
    <col min="14856" max="14857" width="12.42578125" style="238" customWidth="1"/>
    <col min="14858" max="14858" width="13" style="238" customWidth="1"/>
    <col min="14859" max="14859" width="12.42578125" style="238" customWidth="1"/>
    <col min="14860" max="14860" width="15.140625" style="238" customWidth="1"/>
    <col min="14861" max="14861" width="2" style="238" customWidth="1"/>
    <col min="14862" max="14862" width="11.42578125" style="238"/>
    <col min="14863" max="14863" width="2.42578125" style="238" customWidth="1"/>
    <col min="14864" max="14864" width="16.85546875" style="238" customWidth="1"/>
    <col min="14865" max="14865" width="2" style="238" customWidth="1"/>
    <col min="14866" max="14866" width="11.42578125" style="238"/>
    <col min="14867" max="14867" width="13.140625" style="238" customWidth="1"/>
    <col min="14868" max="15104" width="11.42578125" style="238"/>
    <col min="15105" max="15105" width="6.5703125" style="238" customWidth="1"/>
    <col min="15106" max="15106" width="1.7109375" style="238" customWidth="1"/>
    <col min="15107" max="15107" width="40.85546875" style="238" customWidth="1"/>
    <col min="15108" max="15108" width="14.42578125" style="238" customWidth="1"/>
    <col min="15109" max="15109" width="12.85546875" style="238" customWidth="1"/>
    <col min="15110" max="15110" width="13.7109375" style="238" customWidth="1"/>
    <col min="15111" max="15111" width="13" style="238" customWidth="1"/>
    <col min="15112" max="15113" width="12.42578125" style="238" customWidth="1"/>
    <col min="15114" max="15114" width="13" style="238" customWidth="1"/>
    <col min="15115" max="15115" width="12.42578125" style="238" customWidth="1"/>
    <col min="15116" max="15116" width="15.140625" style="238" customWidth="1"/>
    <col min="15117" max="15117" width="2" style="238" customWidth="1"/>
    <col min="15118" max="15118" width="11.42578125" style="238"/>
    <col min="15119" max="15119" width="2.42578125" style="238" customWidth="1"/>
    <col min="15120" max="15120" width="16.85546875" style="238" customWidth="1"/>
    <col min="15121" max="15121" width="2" style="238" customWidth="1"/>
    <col min="15122" max="15122" width="11.42578125" style="238"/>
    <col min="15123" max="15123" width="13.140625" style="238" customWidth="1"/>
    <col min="15124" max="15360" width="11.42578125" style="238"/>
    <col min="15361" max="15361" width="6.5703125" style="238" customWidth="1"/>
    <col min="15362" max="15362" width="1.7109375" style="238" customWidth="1"/>
    <col min="15363" max="15363" width="40.85546875" style="238" customWidth="1"/>
    <col min="15364" max="15364" width="14.42578125" style="238" customWidth="1"/>
    <col min="15365" max="15365" width="12.85546875" style="238" customWidth="1"/>
    <col min="15366" max="15366" width="13.7109375" style="238" customWidth="1"/>
    <col min="15367" max="15367" width="13" style="238" customWidth="1"/>
    <col min="15368" max="15369" width="12.42578125" style="238" customWidth="1"/>
    <col min="15370" max="15370" width="13" style="238" customWidth="1"/>
    <col min="15371" max="15371" width="12.42578125" style="238" customWidth="1"/>
    <col min="15372" max="15372" width="15.140625" style="238" customWidth="1"/>
    <col min="15373" max="15373" width="2" style="238" customWidth="1"/>
    <col min="15374" max="15374" width="11.42578125" style="238"/>
    <col min="15375" max="15375" width="2.42578125" style="238" customWidth="1"/>
    <col min="15376" max="15376" width="16.85546875" style="238" customWidth="1"/>
    <col min="15377" max="15377" width="2" style="238" customWidth="1"/>
    <col min="15378" max="15378" width="11.42578125" style="238"/>
    <col min="15379" max="15379" width="13.140625" style="238" customWidth="1"/>
    <col min="15380" max="15616" width="11.42578125" style="238"/>
    <col min="15617" max="15617" width="6.5703125" style="238" customWidth="1"/>
    <col min="15618" max="15618" width="1.7109375" style="238" customWidth="1"/>
    <col min="15619" max="15619" width="40.85546875" style="238" customWidth="1"/>
    <col min="15620" max="15620" width="14.42578125" style="238" customWidth="1"/>
    <col min="15621" max="15621" width="12.85546875" style="238" customWidth="1"/>
    <col min="15622" max="15622" width="13.7109375" style="238" customWidth="1"/>
    <col min="15623" max="15623" width="13" style="238" customWidth="1"/>
    <col min="15624" max="15625" width="12.42578125" style="238" customWidth="1"/>
    <col min="15626" max="15626" width="13" style="238" customWidth="1"/>
    <col min="15627" max="15627" width="12.42578125" style="238" customWidth="1"/>
    <col min="15628" max="15628" width="15.140625" style="238" customWidth="1"/>
    <col min="15629" max="15629" width="2" style="238" customWidth="1"/>
    <col min="15630" max="15630" width="11.42578125" style="238"/>
    <col min="15631" max="15631" width="2.42578125" style="238" customWidth="1"/>
    <col min="15632" max="15632" width="16.85546875" style="238" customWidth="1"/>
    <col min="15633" max="15633" width="2" style="238" customWidth="1"/>
    <col min="15634" max="15634" width="11.42578125" style="238"/>
    <col min="15635" max="15635" width="13.140625" style="238" customWidth="1"/>
    <col min="15636" max="15872" width="11.42578125" style="238"/>
    <col min="15873" max="15873" width="6.5703125" style="238" customWidth="1"/>
    <col min="15874" max="15874" width="1.7109375" style="238" customWidth="1"/>
    <col min="15875" max="15875" width="40.85546875" style="238" customWidth="1"/>
    <col min="15876" max="15876" width="14.42578125" style="238" customWidth="1"/>
    <col min="15877" max="15877" width="12.85546875" style="238" customWidth="1"/>
    <col min="15878" max="15878" width="13.7109375" style="238" customWidth="1"/>
    <col min="15879" max="15879" width="13" style="238" customWidth="1"/>
    <col min="15880" max="15881" width="12.42578125" style="238" customWidth="1"/>
    <col min="15882" max="15882" width="13" style="238" customWidth="1"/>
    <col min="15883" max="15883" width="12.42578125" style="238" customWidth="1"/>
    <col min="15884" max="15884" width="15.140625" style="238" customWidth="1"/>
    <col min="15885" max="15885" width="2" style="238" customWidth="1"/>
    <col min="15886" max="15886" width="11.42578125" style="238"/>
    <col min="15887" max="15887" width="2.42578125" style="238" customWidth="1"/>
    <col min="15888" max="15888" width="16.85546875" style="238" customWidth="1"/>
    <col min="15889" max="15889" width="2" style="238" customWidth="1"/>
    <col min="15890" max="15890" width="11.42578125" style="238"/>
    <col min="15891" max="15891" width="13.140625" style="238" customWidth="1"/>
    <col min="15892" max="16128" width="11.42578125" style="238"/>
    <col min="16129" max="16129" width="6.5703125" style="238" customWidth="1"/>
    <col min="16130" max="16130" width="1.7109375" style="238" customWidth="1"/>
    <col min="16131" max="16131" width="40.85546875" style="238" customWidth="1"/>
    <col min="16132" max="16132" width="14.42578125" style="238" customWidth="1"/>
    <col min="16133" max="16133" width="12.85546875" style="238" customWidth="1"/>
    <col min="16134" max="16134" width="13.7109375" style="238" customWidth="1"/>
    <col min="16135" max="16135" width="13" style="238" customWidth="1"/>
    <col min="16136" max="16137" width="12.42578125" style="238" customWidth="1"/>
    <col min="16138" max="16138" width="13" style="238" customWidth="1"/>
    <col min="16139" max="16139" width="12.42578125" style="238" customWidth="1"/>
    <col min="16140" max="16140" width="15.140625" style="238" customWidth="1"/>
    <col min="16141" max="16141" width="2" style="238" customWidth="1"/>
    <col min="16142" max="16142" width="11.42578125" style="238"/>
    <col min="16143" max="16143" width="2.42578125" style="238" customWidth="1"/>
    <col min="16144" max="16144" width="16.85546875" style="238" customWidth="1"/>
    <col min="16145" max="16145" width="2" style="238" customWidth="1"/>
    <col min="16146" max="16146" width="11.42578125" style="238"/>
    <col min="16147" max="16147" width="13.140625" style="238" customWidth="1"/>
    <col min="16148" max="16384" width="11.42578125" style="238"/>
  </cols>
  <sheetData>
    <row r="2" spans="2:19" ht="18">
      <c r="C2" s="1236" t="s">
        <v>614</v>
      </c>
      <c r="D2" s="1236"/>
      <c r="E2" s="1236"/>
      <c r="F2" s="1236"/>
      <c r="G2" s="1236"/>
      <c r="H2" s="1236"/>
      <c r="I2" s="1236"/>
      <c r="J2" s="1236"/>
      <c r="K2" s="1236"/>
      <c r="L2" s="1236"/>
    </row>
    <row r="3" spans="2:19" ht="18">
      <c r="C3" s="1236" t="s">
        <v>412</v>
      </c>
      <c r="D3" s="1236"/>
      <c r="E3" s="1236"/>
      <c r="F3" s="1236"/>
      <c r="G3" s="1236"/>
      <c r="H3" s="1236"/>
      <c r="I3" s="1236"/>
      <c r="J3" s="1236"/>
      <c r="K3" s="1236"/>
      <c r="L3" s="1236"/>
    </row>
    <row r="4" spans="2:19" ht="18">
      <c r="C4" s="1236" t="s">
        <v>413</v>
      </c>
      <c r="D4" s="1236"/>
      <c r="E4" s="1236"/>
      <c r="F4" s="1236"/>
      <c r="G4" s="1236"/>
      <c r="H4" s="1236"/>
      <c r="I4" s="1236"/>
      <c r="J4" s="1236"/>
      <c r="K4" s="1236"/>
      <c r="L4" s="1236"/>
    </row>
    <row r="5" spans="2:19" ht="18">
      <c r="C5" s="1236" t="s">
        <v>615</v>
      </c>
      <c r="D5" s="1236"/>
      <c r="E5" s="1236"/>
      <c r="F5" s="1236"/>
      <c r="G5" s="1236"/>
      <c r="H5" s="1236"/>
      <c r="I5" s="1236"/>
      <c r="J5" s="1236"/>
      <c r="K5" s="1236"/>
      <c r="L5" s="1236"/>
    </row>
    <row r="6" spans="2:19">
      <c r="C6" s="1237" t="s">
        <v>255</v>
      </c>
      <c r="D6" s="1237"/>
      <c r="E6" s="1237"/>
      <c r="F6" s="1237"/>
      <c r="G6" s="1237"/>
      <c r="H6" s="1237"/>
      <c r="I6" s="1237"/>
      <c r="J6" s="1237"/>
      <c r="K6" s="1237"/>
      <c r="L6" s="1237"/>
    </row>
    <row r="7" spans="2:19" ht="18">
      <c r="C7" s="996"/>
      <c r="D7" s="996"/>
      <c r="E7" s="996"/>
      <c r="F7" s="996"/>
      <c r="G7" s="996"/>
      <c r="H7" s="996"/>
      <c r="I7" s="996"/>
      <c r="J7" s="996"/>
      <c r="K7" s="996"/>
      <c r="L7" s="996"/>
    </row>
    <row r="8" spans="2:19" ht="18">
      <c r="C8" s="996"/>
      <c r="D8" s="996"/>
      <c r="E8" s="996"/>
      <c r="F8" s="996"/>
      <c r="G8" s="996"/>
      <c r="H8" s="996"/>
      <c r="I8" s="996"/>
      <c r="J8" s="996"/>
      <c r="K8" s="996"/>
      <c r="L8" s="996"/>
    </row>
    <row r="9" spans="2:19" ht="18">
      <c r="B9" s="638"/>
      <c r="C9" s="996"/>
      <c r="D9" s="996"/>
      <c r="E9" s="996"/>
      <c r="F9" s="996"/>
      <c r="G9" s="996"/>
      <c r="H9" s="996"/>
      <c r="I9" s="996"/>
      <c r="J9" s="996"/>
      <c r="K9" s="996"/>
      <c r="L9" s="996"/>
    </row>
    <row r="10" spans="2:19">
      <c r="B10" s="638"/>
      <c r="C10" s="638"/>
      <c r="D10" s="638"/>
      <c r="E10" s="638"/>
      <c r="F10" s="638"/>
      <c r="G10" s="638"/>
      <c r="H10" s="638"/>
      <c r="I10" s="638"/>
      <c r="J10" s="638"/>
      <c r="K10" s="638"/>
      <c r="L10" s="1048"/>
      <c r="M10" s="638"/>
      <c r="N10" s="638"/>
      <c r="O10" s="638"/>
      <c r="P10" s="638"/>
      <c r="Q10" s="638"/>
    </row>
    <row r="11" spans="2:19" ht="3.6" customHeight="1" thickBot="1">
      <c r="B11" s="638"/>
      <c r="C11" s="638"/>
      <c r="D11" s="638"/>
      <c r="E11" s="638"/>
      <c r="F11" s="638"/>
      <c r="G11" s="638"/>
      <c r="H11" s="638"/>
      <c r="I11" s="638"/>
      <c r="J11" s="638"/>
      <c r="K11" s="638"/>
      <c r="L11" s="1048"/>
      <c r="M11" s="638"/>
      <c r="N11" s="638"/>
      <c r="O11" s="638"/>
      <c r="P11" s="638"/>
      <c r="Q11" s="638"/>
    </row>
    <row r="12" spans="2:19" ht="13.15" customHeight="1">
      <c r="B12" s="638"/>
      <c r="C12" s="1238" t="s">
        <v>256</v>
      </c>
      <c r="D12" s="1239"/>
      <c r="E12" s="1242" t="s">
        <v>604</v>
      </c>
      <c r="F12" s="1242" t="s">
        <v>605</v>
      </c>
      <c r="G12" s="1242" t="s">
        <v>606</v>
      </c>
      <c r="H12" s="1244" t="s">
        <v>607</v>
      </c>
      <c r="I12" s="1242" t="s">
        <v>608</v>
      </c>
      <c r="J12" s="1244" t="s">
        <v>609</v>
      </c>
      <c r="K12" s="1242" t="s">
        <v>610</v>
      </c>
      <c r="L12" s="1246" t="s">
        <v>611</v>
      </c>
      <c r="M12" s="638"/>
      <c r="N12" s="638"/>
      <c r="O12" s="638"/>
      <c r="P12" s="1234" t="s">
        <v>612</v>
      </c>
      <c r="Q12" s="638"/>
      <c r="S12" s="1234" t="s">
        <v>612</v>
      </c>
    </row>
    <row r="13" spans="2:19" ht="49.5" customHeight="1" thickBot="1">
      <c r="B13" s="638"/>
      <c r="C13" s="1240"/>
      <c r="D13" s="1241"/>
      <c r="E13" s="1243"/>
      <c r="F13" s="1243"/>
      <c r="G13" s="1243"/>
      <c r="H13" s="1245"/>
      <c r="I13" s="1243"/>
      <c r="J13" s="1245"/>
      <c r="K13" s="1243"/>
      <c r="L13" s="1247"/>
      <c r="M13" s="638"/>
      <c r="N13" s="638"/>
      <c r="O13" s="638"/>
      <c r="P13" s="1235"/>
      <c r="Q13" s="638"/>
      <c r="S13" s="1235"/>
    </row>
    <row r="14" spans="2:19">
      <c r="B14" s="638"/>
      <c r="C14" s="1248" t="s">
        <v>75</v>
      </c>
      <c r="D14" s="1249"/>
      <c r="E14" s="644">
        <f>'[4]PIB Estructural II TRIM 2005-12'!AH13</f>
        <v>195.69391379740551</v>
      </c>
      <c r="F14" s="1049">
        <f>'[4]PIB Estructural II TRIM 2005-12'!AI13</f>
        <v>195.00413180732505</v>
      </c>
      <c r="G14" s="644">
        <f>E14+F14</f>
        <v>390.69804560473057</v>
      </c>
      <c r="H14" s="613">
        <f>G14/$G$43</f>
        <v>3.1274805369096353E-2</v>
      </c>
      <c r="I14" s="615">
        <f>AVERAGE('[4]PIB Estructural II TRIM 2005-12'!CP13:CV13)</f>
        <v>1.8133853160471258</v>
      </c>
      <c r="J14" s="644">
        <f>G14*I14</f>
        <v>708.48609890792875</v>
      </c>
      <c r="K14" s="614">
        <f>J14/$J$43</f>
        <v>2.7430378773238975E-2</v>
      </c>
      <c r="L14" s="1050">
        <f>K14*$J$47</f>
        <v>706.39211544954992</v>
      </c>
      <c r="M14" s="638"/>
      <c r="N14" s="638"/>
      <c r="O14" s="638"/>
      <c r="P14" s="1051">
        <f>J14/'[4]2001-2011 Contraloría Historico'!N13-1</f>
        <v>1.1052801497757336E-4</v>
      </c>
      <c r="Q14" s="638"/>
      <c r="S14" s="1051">
        <f>L14/'[4]2001-2011 Contraloría Historico'!N13-1</f>
        <v>-2.845373174109822E-3</v>
      </c>
    </row>
    <row r="15" spans="2:19">
      <c r="B15" s="638"/>
      <c r="C15" s="1221" t="s">
        <v>76</v>
      </c>
      <c r="D15" s="1222"/>
      <c r="E15" s="651">
        <f>'[4]PIB Estructural II TRIM 2005-12'!AH14</f>
        <v>28.4</v>
      </c>
      <c r="F15" s="1052">
        <f>'[4]PIB Estructural II TRIM 2005-12'!AI14</f>
        <v>37.487344668786399</v>
      </c>
      <c r="G15" s="651">
        <f>E15+F15</f>
        <v>65.887344668786398</v>
      </c>
      <c r="H15" s="618">
        <f t="shared" ref="H15:H42" si="0">G15/$G$43</f>
        <v>5.274185279359158E-3</v>
      </c>
      <c r="I15" s="620">
        <f>AVERAGE('[4]PIB Estructural II TRIM 2005-12'!CP14:CV14)</f>
        <v>2.0786587876741796</v>
      </c>
      <c r="J15" s="651">
        <f>G15*I15</f>
        <v>136.95730799229034</v>
      </c>
      <c r="K15" s="619">
        <f>J15/$J$43</f>
        <v>5.3025611085135583E-3</v>
      </c>
      <c r="L15" s="646">
        <f>K15*$J$47</f>
        <v>136.55252046310378</v>
      </c>
      <c r="M15" s="638"/>
      <c r="N15" s="638"/>
      <c r="O15" s="638"/>
      <c r="P15" s="1051">
        <f>J15/'[4]2001-2011 Contraloría Historico'!N14-1</f>
        <v>-0.24541428103421303</v>
      </c>
      <c r="Q15" s="638"/>
      <c r="S15" s="1051">
        <f>L15/'[4]2001-2011 Contraloría Historico'!N14-1</f>
        <v>-0.24764451535480014</v>
      </c>
    </row>
    <row r="16" spans="2:19">
      <c r="B16" s="638"/>
      <c r="C16" s="1221" t="s">
        <v>77</v>
      </c>
      <c r="D16" s="1222"/>
      <c r="E16" s="651">
        <f>'[4]PIB Estructural II TRIM 2005-12'!AH15</f>
        <v>115.11695194768824</v>
      </c>
      <c r="F16" s="1052">
        <f>'[4]PIB Estructural II TRIM 2005-12'!AI15</f>
        <v>112.960656</v>
      </c>
      <c r="G16" s="651">
        <f>E16+F16</f>
        <v>228.07760794768825</v>
      </c>
      <c r="H16" s="1053">
        <f t="shared" si="0"/>
        <v>1.8257277910290744E-2</v>
      </c>
      <c r="I16" s="1054">
        <f>AVERAGE('[4]PIB Estructural II TRIM 2005-12'!CP15:CV15)</f>
        <v>2.0222750423176836</v>
      </c>
      <c r="J16" s="651">
        <f>G16*I16</f>
        <v>461.23565426412733</v>
      </c>
      <c r="K16" s="619">
        <f>J16/$J$43</f>
        <v>1.7857610360583632E-2</v>
      </c>
      <c r="L16" s="646">
        <f>K16*$J$47</f>
        <v>459.87243791883503</v>
      </c>
      <c r="M16" s="638"/>
      <c r="N16" s="638"/>
      <c r="O16" s="638"/>
      <c r="P16" s="1051">
        <f>J16/'[4]2001-2011 Contraloría Historico'!N15-1</f>
        <v>0.30472823967840124</v>
      </c>
      <c r="Q16" s="638"/>
      <c r="S16" s="1051">
        <f>L16/'[4]2001-2011 Contraloría Historico'!N15-1</f>
        <v>0.30087201814381115</v>
      </c>
    </row>
    <row r="17" spans="2:19" ht="13.5" thickBot="1">
      <c r="B17" s="638"/>
      <c r="C17" s="1224" t="s">
        <v>78</v>
      </c>
      <c r="D17" s="1225"/>
      <c r="E17" s="628">
        <f>+E14+E15+E16</f>
        <v>339.21086574509377</v>
      </c>
      <c r="F17" s="633">
        <f>+F14+F15+F16</f>
        <v>345.45213247611144</v>
      </c>
      <c r="G17" s="628">
        <f>+G14+G15+G16</f>
        <v>684.66299822120527</v>
      </c>
      <c r="H17" s="624">
        <f>+H14+H15+H16</f>
        <v>5.4806268558746263E-2</v>
      </c>
      <c r="I17" s="1055">
        <f>AVERAGE('[4]PIB Estructural II TRIM 2005-12'!CP16:CT16)</f>
        <v>1.9113032693035432</v>
      </c>
      <c r="J17" s="628">
        <f>+J14+J15+J16</f>
        <v>1306.6790611643464</v>
      </c>
      <c r="K17" s="625">
        <f>SUM(K14:K16)</f>
        <v>5.0590550242336163E-2</v>
      </c>
      <c r="L17" s="1056">
        <f>+L14+L15+L16</f>
        <v>1302.8170738314886</v>
      </c>
      <c r="M17" s="621"/>
      <c r="N17" s="638"/>
      <c r="O17" s="638"/>
      <c r="P17" s="625">
        <f>J17/'[4]VALIDAR PIB Estruc II Trim 2011'!O17-1</f>
        <v>5.0896353406292505E-2</v>
      </c>
      <c r="Q17" s="638"/>
      <c r="S17" s="625">
        <f>L17/'[4]VALIDAR PIB Estruc II Trim 2011'!O17-1</f>
        <v>4.779035092593964E-2</v>
      </c>
    </row>
    <row r="18" spans="2:19">
      <c r="B18" s="638"/>
      <c r="C18" s="1250" t="s">
        <v>79</v>
      </c>
      <c r="D18" s="1251"/>
      <c r="E18" s="1057">
        <f>'[4]PIB Estructural II TRIM 2005-12'!AH17</f>
        <v>317.69449719186508</v>
      </c>
      <c r="F18" s="1058">
        <f>'[4]PIB Estructural II TRIM 2005-12'!AI17</f>
        <v>312.57934283476703</v>
      </c>
      <c r="G18" s="660">
        <f>E18+F18</f>
        <v>630.27384002663212</v>
      </c>
      <c r="H18" s="1059">
        <f>G18/$G$43</f>
        <v>5.0452496237998128E-2</v>
      </c>
      <c r="I18" s="1060">
        <f>AVERAGE('[4]PIB Estructural II TRIM 2005-12'!CP17:CV17)</f>
        <v>1.998100124341093</v>
      </c>
      <c r="J18" s="660">
        <f>G18*I18</f>
        <v>1259.3502381261517</v>
      </c>
      <c r="K18" s="1061">
        <f>J18/$J$43</f>
        <v>4.8758125379194293E-2</v>
      </c>
      <c r="L18" s="1062">
        <f>K18*$J$47</f>
        <v>1255.6281346565049</v>
      </c>
      <c r="M18" s="638"/>
      <c r="N18" s="638"/>
      <c r="O18" s="638"/>
      <c r="P18" s="1051">
        <f>J18/'[4]2001-2011 Contraloría Historico'!N16-1</f>
        <v>3.6758243291472592E-2</v>
      </c>
      <c r="Q18" s="638"/>
      <c r="S18" s="1051">
        <f>L18/'[4]2001-2011 Contraloría Historico'!N16-1</f>
        <v>3.3694027049069541E-2</v>
      </c>
    </row>
    <row r="19" spans="2:19">
      <c r="B19" s="638"/>
      <c r="C19" s="1221" t="s">
        <v>80</v>
      </c>
      <c r="D19" s="1222"/>
      <c r="E19" s="651">
        <f>'[4]PIB Estructural II TRIM 2005-12'!AH18</f>
        <v>164.74931954924779</v>
      </c>
      <c r="F19" s="1052">
        <f>'[4]PIB Estructural II TRIM 2005-12'!AI18</f>
        <v>170.73919842141814</v>
      </c>
      <c r="G19" s="651">
        <f>E19+F19</f>
        <v>335.48851797066595</v>
      </c>
      <c r="H19" s="618">
        <f t="shared" si="0"/>
        <v>2.6855363678256704E-2</v>
      </c>
      <c r="I19" s="620">
        <f>AVERAGE('[4]PIB Estructural II TRIM 2005-12'!CP18:CV18)</f>
        <v>2.0253013450332835</v>
      </c>
      <c r="J19" s="651">
        <f>G19*I19</f>
        <v>679.46534668921265</v>
      </c>
      <c r="K19" s="619">
        <f>J19/$J$43</f>
        <v>2.6306785484858663E-2</v>
      </c>
      <c r="L19" s="646">
        <f>K19*$J$47</f>
        <v>677.45713622650635</v>
      </c>
      <c r="M19" s="638"/>
      <c r="N19" s="638"/>
      <c r="O19" s="638"/>
      <c r="P19" s="1051">
        <f>J19/'[4]2001-2011 Contraloría Historico'!N17-1</f>
        <v>0.11256351586235058</v>
      </c>
      <c r="Q19" s="638"/>
      <c r="S19" s="1051">
        <f>L19/'[4]2001-2011 Contraloría Historico'!N17-1</f>
        <v>0.1092752514882116</v>
      </c>
    </row>
    <row r="20" spans="2:19">
      <c r="B20" s="638"/>
      <c r="C20" s="1221" t="s">
        <v>81</v>
      </c>
      <c r="D20" s="1222"/>
      <c r="E20" s="651">
        <f>'[4]PIB Estructural II TRIM 2005-12'!AH19</f>
        <v>476.14159894725168</v>
      </c>
      <c r="F20" s="1052">
        <f>'[4]PIB Estructural II TRIM 2005-12'!AI19</f>
        <v>457.79520200000002</v>
      </c>
      <c r="G20" s="651">
        <f>E20+F20</f>
        <v>933.93680094725164</v>
      </c>
      <c r="H20" s="618">
        <f t="shared" si="0"/>
        <v>7.4760270764733308E-2</v>
      </c>
      <c r="I20" s="620">
        <f>AVERAGE('[4]PIB Estructural II TRIM 2005-12'!CP19:CV19)</f>
        <v>2.0428078577325812</v>
      </c>
      <c r="J20" s="651">
        <f>G20*I20</f>
        <v>1907.8534356006753</v>
      </c>
      <c r="K20" s="619">
        <f>J20/$J$43</f>
        <v>7.3866152720595241E-2</v>
      </c>
      <c r="L20" s="646">
        <f>K20*$J$47</f>
        <v>1902.2146326074801</v>
      </c>
      <c r="M20" s="638"/>
      <c r="N20" s="638"/>
      <c r="O20" s="638"/>
      <c r="P20" s="1051">
        <f>J20/'[4]2001-2011 Contraloría Historico'!N18-1</f>
        <v>0.32733978696415678</v>
      </c>
      <c r="Q20" s="638"/>
      <c r="S20" s="1051">
        <f>L20/'[4]2001-2011 Contraloría Historico'!N18-1</f>
        <v>0.32341673531665749</v>
      </c>
    </row>
    <row r="21" spans="2:19">
      <c r="B21" s="638"/>
      <c r="C21" s="1221" t="s">
        <v>82</v>
      </c>
      <c r="D21" s="1222"/>
      <c r="E21" s="651">
        <f>'[4]PIB Estructural II TRIM 2005-12'!AH20</f>
        <v>1547.6740553184836</v>
      </c>
      <c r="F21" s="1052">
        <f>'[4]PIB Estructural II TRIM 2005-12'!AI20</f>
        <v>1526.9621037311294</v>
      </c>
      <c r="G21" s="651">
        <f>E21+F21</f>
        <v>3074.6361590496131</v>
      </c>
      <c r="H21" s="1053">
        <f t="shared" si="0"/>
        <v>0.24612011382403073</v>
      </c>
      <c r="I21" s="1054">
        <f>AVERAGE('[4]PIB Estructural II TRIM 2005-12'!CP20:CV20)</f>
        <v>2.0590539343636207</v>
      </c>
      <c r="J21" s="651">
        <f t="shared" ref="J21:J35" si="1">G21*I21</f>
        <v>6330.8416800277573</v>
      </c>
      <c r="K21" s="619">
        <f>J21/$J$43</f>
        <v>0.24511050464398396</v>
      </c>
      <c r="L21" s="646">
        <f>K21*$J$47</f>
        <v>6312.1304056978479</v>
      </c>
      <c r="M21" s="638"/>
      <c r="N21" s="638"/>
      <c r="O21" s="638"/>
      <c r="P21" s="1051">
        <f>J21/'[4]2001-2011 Contraloría Historico'!N21-1</f>
        <v>0.13480436192752987</v>
      </c>
      <c r="Q21" s="638"/>
      <c r="S21" s="1051">
        <f>L21/'[4]2001-2011 Contraloría Historico'!N21-1</f>
        <v>0.1314503630755619</v>
      </c>
    </row>
    <row r="22" spans="2:19" ht="13.5" thickBot="1">
      <c r="B22" s="638"/>
      <c r="C22" s="1224" t="s">
        <v>347</v>
      </c>
      <c r="D22" s="1225"/>
      <c r="E22" s="628">
        <f>+E18+E19+E20+E21</f>
        <v>2506.2594710068479</v>
      </c>
      <c r="F22" s="633">
        <f>+F18+F19+F20+F21</f>
        <v>2468.0758469873144</v>
      </c>
      <c r="G22" s="628">
        <f>+G18+G19+G20+G21</f>
        <v>4974.3353179941623</v>
      </c>
      <c r="H22" s="624">
        <f>+H18+H19+H20+H21</f>
        <v>0.39818824450501888</v>
      </c>
      <c r="I22" s="1055">
        <f>AVERAGE('[4]PIB Estructural II TRIM 2005-12'!CP21:CT21)</f>
        <v>2.0465485443305504</v>
      </c>
      <c r="J22" s="628">
        <f>+J18+J19+J20+J21</f>
        <v>10177.510700443796</v>
      </c>
      <c r="K22" s="625">
        <f>SUM(K18:K21)</f>
        <v>0.39404156822863212</v>
      </c>
      <c r="L22" s="1056">
        <f>+L18+L19+L20+L21</f>
        <v>10147.430309188339</v>
      </c>
      <c r="M22" s="638"/>
      <c r="N22" s="638"/>
      <c r="O22" s="638"/>
      <c r="P22" s="625">
        <f>J22/'[4]VALIDAR PIB Estruc II Trim 2011'!O22-1</f>
        <v>0.15109801858081351</v>
      </c>
      <c r="Q22" s="638"/>
      <c r="S22" s="625">
        <f>L22/'[4]VALIDAR PIB Estruc II Trim 2011'!O22-1</f>
        <v>0.14769586261248002</v>
      </c>
    </row>
    <row r="23" spans="2:19">
      <c r="B23" s="638"/>
      <c r="C23" s="1248" t="s">
        <v>84</v>
      </c>
      <c r="D23" s="1249"/>
      <c r="E23" s="651">
        <f>'[4]PIB Estructural II TRIM 2005-12'!AH22</f>
        <v>857.40038673919526</v>
      </c>
      <c r="F23" s="1052">
        <f>'[4]PIB Estructural II TRIM 2005-12'!AI22</f>
        <v>871.44629202044075</v>
      </c>
      <c r="G23" s="651">
        <f t="shared" ref="G23:G28" si="2">E23+F23</f>
        <v>1728.846678759636</v>
      </c>
      <c r="H23" s="613">
        <f t="shared" si="0"/>
        <v>0.13839164029481285</v>
      </c>
      <c r="I23" s="615">
        <f>AVERAGE('[4]PIB Estructural II TRIM 2005-12'!CP22:CV22)</f>
        <v>2.171652952025938</v>
      </c>
      <c r="J23" s="651">
        <f t="shared" si="1"/>
        <v>3754.4549935286022</v>
      </c>
      <c r="K23" s="619">
        <f t="shared" ref="K23:K28" si="3">J23/$J$43</f>
        <v>0.14536082319513738</v>
      </c>
      <c r="L23" s="646">
        <f t="shared" ref="L23:L28" si="4">K23*$J$47</f>
        <v>3743.3584220308762</v>
      </c>
      <c r="M23" s="638"/>
      <c r="N23" s="638"/>
      <c r="O23" s="638"/>
      <c r="P23" s="1051">
        <f>J23/'[4]2001-2011 Contraloría Historico'!N19-1</f>
        <v>9.02342192325023E-2</v>
      </c>
      <c r="Q23" s="638"/>
      <c r="S23" s="1051">
        <f>L23/'[4]2001-2011 Contraloría Historico'!N19-1</f>
        <v>8.701195075842727E-2</v>
      </c>
    </row>
    <row r="24" spans="2:19">
      <c r="B24" s="638"/>
      <c r="C24" s="1221" t="s">
        <v>85</v>
      </c>
      <c r="D24" s="1222"/>
      <c r="E24" s="651">
        <f>'[4]PIB Estructural II TRIM 2005-12'!AH23</f>
        <v>173.03731985021278</v>
      </c>
      <c r="F24" s="1052">
        <f>'[4]PIB Estructural II TRIM 2005-12'!AI23</f>
        <v>173.26850355052864</v>
      </c>
      <c r="G24" s="651">
        <f t="shared" si="2"/>
        <v>346.30582340074142</v>
      </c>
      <c r="H24" s="618">
        <f t="shared" si="0"/>
        <v>2.7721273108184969E-2</v>
      </c>
      <c r="I24" s="620">
        <f>AVERAGE('[4]PIB Estructural II TRIM 2005-12'!CP23:CV23)</f>
        <v>2.1159067026458609</v>
      </c>
      <c r="J24" s="651">
        <f t="shared" si="1"/>
        <v>732.75081289892262</v>
      </c>
      <c r="K24" s="619">
        <f t="shared" si="3"/>
        <v>2.8369833049932933E-2</v>
      </c>
      <c r="L24" s="646">
        <f t="shared" si="4"/>
        <v>730.58511327025087</v>
      </c>
      <c r="M24" s="638"/>
      <c r="N24" s="638"/>
      <c r="O24" s="638"/>
      <c r="P24" s="1051">
        <f>J24/'[4]2001-2011 Contraloría Historico'!N20-1</f>
        <v>0.10356664043952035</v>
      </c>
      <c r="Q24" s="638"/>
      <c r="S24" s="1051">
        <f>L24/'[4]2001-2011 Contraloría Historico'!N20-1</f>
        <v>0.1003049670010987</v>
      </c>
    </row>
    <row r="25" spans="2:19">
      <c r="B25" s="638"/>
      <c r="C25" s="1221" t="s">
        <v>86</v>
      </c>
      <c r="D25" s="1222"/>
      <c r="E25" s="651">
        <f>'[4]PIB Estructural II TRIM 2005-12'!AH24</f>
        <v>534.47982665744428</v>
      </c>
      <c r="F25" s="1052">
        <f>'[4]PIB Estructural II TRIM 2005-12'!AI24</f>
        <v>539.82779464356815</v>
      </c>
      <c r="G25" s="651">
        <f t="shared" si="2"/>
        <v>1074.3076213010124</v>
      </c>
      <c r="H25" s="618">
        <f t="shared" si="0"/>
        <v>8.5996749000167572E-2</v>
      </c>
      <c r="I25" s="620">
        <f>AVERAGE('[4]PIB Estructural II TRIM 2005-12'!CP24:CV24)</f>
        <v>1.9890620890140132</v>
      </c>
      <c r="J25" s="651">
        <f t="shared" si="1"/>
        <v>2136.864561468667</v>
      </c>
      <c r="K25" s="619">
        <f t="shared" si="3"/>
        <v>8.273275142384133E-2</v>
      </c>
      <c r="L25" s="646">
        <f t="shared" si="4"/>
        <v>2130.5488990281356</v>
      </c>
      <c r="M25" s="638"/>
      <c r="N25" s="638"/>
      <c r="O25" s="638"/>
      <c r="P25" s="1051">
        <f>J25/'[4]2001-2011 Contraloría Historico'!N22-1</f>
        <v>0.13273960735318502</v>
      </c>
      <c r="Q25" s="638"/>
      <c r="S25" s="1051">
        <f>L25/'[4]2001-2011 Contraloría Historico'!N22-1</f>
        <v>0.12939171103721714</v>
      </c>
    </row>
    <row r="26" spans="2:19">
      <c r="B26" s="638"/>
      <c r="C26" s="1221" t="s">
        <v>87</v>
      </c>
      <c r="D26" s="1222"/>
      <c r="E26" s="651">
        <f>'[4]PIB Estructural II TRIM 2005-12'!AH25</f>
        <v>310.50376453434887</v>
      </c>
      <c r="F26" s="1052">
        <f>'[4]PIB Estructural II TRIM 2005-12'!AI25</f>
        <v>317.78065661455537</v>
      </c>
      <c r="G26" s="651">
        <f t="shared" si="2"/>
        <v>628.28442114890424</v>
      </c>
      <c r="H26" s="618">
        <f t="shared" si="0"/>
        <v>5.0293246175453686E-2</v>
      </c>
      <c r="I26" s="620">
        <f>AVERAGE('[4]PIB Estructural II TRIM 2005-12'!CP25:CV25)</f>
        <v>2.0408782796359479</v>
      </c>
      <c r="J26" s="651">
        <f t="shared" si="1"/>
        <v>1282.2520285564431</v>
      </c>
      <c r="K26" s="619">
        <f t="shared" si="3"/>
        <v>4.9644811493511222E-2</v>
      </c>
      <c r="L26" s="646">
        <f t="shared" si="4"/>
        <v>1278.4622371386458</v>
      </c>
      <c r="M26" s="638"/>
      <c r="N26" s="638"/>
      <c r="O26" s="638"/>
      <c r="P26" s="1051">
        <f>J26/'[4]2001-2011 Contraloría Historico'!N23-1</f>
        <v>6.0917739465056187E-2</v>
      </c>
      <c r="Q26" s="638"/>
      <c r="S26" s="1051">
        <f>L26/'[4]2001-2011 Contraloría Historico'!N23-1</f>
        <v>5.7782118031460161E-2</v>
      </c>
    </row>
    <row r="27" spans="2:19">
      <c r="B27" s="638"/>
      <c r="C27" s="1221" t="s">
        <v>88</v>
      </c>
      <c r="D27" s="1222"/>
      <c r="E27" s="651">
        <f>'[4]PIB Estructural II TRIM 2005-12'!AH26</f>
        <v>39.730621326723373</v>
      </c>
      <c r="F27" s="1052">
        <f>'[4]PIB Estructural II TRIM 2005-12'!AI26</f>
        <v>39.551956241473093</v>
      </c>
      <c r="G27" s="651">
        <f t="shared" si="2"/>
        <v>79.282577568196473</v>
      </c>
      <c r="H27" s="618">
        <f t="shared" si="0"/>
        <v>6.3464540212064139E-3</v>
      </c>
      <c r="I27" s="620">
        <f>AVERAGE('[4]PIB Estructural II TRIM 2005-12'!CP26:CV26)</f>
        <v>2.0028669256985867</v>
      </c>
      <c r="J27" s="651">
        <f t="shared" si="1"/>
        <v>158.79245239547339</v>
      </c>
      <c r="K27" s="619">
        <f t="shared" si="3"/>
        <v>6.1479500053047654E-3</v>
      </c>
      <c r="L27" s="646">
        <f t="shared" si="4"/>
        <v>158.32312946995083</v>
      </c>
      <c r="M27" s="638"/>
      <c r="N27" s="638"/>
      <c r="O27" s="638"/>
      <c r="P27" s="1051">
        <f>J27/'[4]2001-2011 Contraloría Historico'!N24-1</f>
        <v>5.6213112401405363E-2</v>
      </c>
      <c r="Q27" s="638"/>
      <c r="S27" s="1051">
        <f>L27/'[4]2001-2011 Contraloría Historico'!N24-1</f>
        <v>5.3091395843662736E-2</v>
      </c>
    </row>
    <row r="28" spans="2:19">
      <c r="B28" s="638"/>
      <c r="C28" s="1221" t="s">
        <v>89</v>
      </c>
      <c r="D28" s="1222"/>
      <c r="E28" s="1063">
        <f>'[4]PIB Estructural II TRIM 2005-12'!AH27</f>
        <v>-132.70797893348399</v>
      </c>
      <c r="F28" s="1064">
        <f>'[4]PIB Estructural II TRIM 2005-12'!AI27</f>
        <v>-112.648731</v>
      </c>
      <c r="G28" s="1065">
        <f t="shared" si="2"/>
        <v>-245.35670993348398</v>
      </c>
      <c r="H28" s="1066">
        <f t="shared" si="0"/>
        <v>-1.9640444674593558E-2</v>
      </c>
      <c r="I28" s="1054">
        <f>AVERAGE('[4]PIB Estructural II TRIM 2005-12'!CP27:CV27)</f>
        <v>2.0087625539882952</v>
      </c>
      <c r="J28" s="1064">
        <f t="shared" si="1"/>
        <v>-492.86337128415062</v>
      </c>
      <c r="K28" s="619">
        <f t="shared" si="3"/>
        <v>-1.9082137219938143E-2</v>
      </c>
      <c r="L28" s="1067">
        <f t="shared" si="4"/>
        <v>-491.40667686445676</v>
      </c>
      <c r="M28" s="638"/>
      <c r="N28" s="638"/>
      <c r="O28" s="638"/>
      <c r="P28" s="1051">
        <f>J28/-('[4]2001-2011 Contraloría Historico'!N27)-1</f>
        <v>4.8020003559898106E-2</v>
      </c>
      <c r="Q28" s="638"/>
      <c r="S28" s="1051">
        <f>L28/-('[4]2001-2011 Contraloría Historico'!N27)-1</f>
        <v>4.4922502345848381E-2</v>
      </c>
    </row>
    <row r="29" spans="2:19" ht="13.5" thickBot="1">
      <c r="B29" s="638"/>
      <c r="C29" s="1224" t="s">
        <v>90</v>
      </c>
      <c r="D29" s="1225"/>
      <c r="E29" s="628">
        <f>+E23+E24+E25+E26+E27+E28</f>
        <v>1782.4439401744405</v>
      </c>
      <c r="F29" s="633">
        <f>+F23+F24+F25+F26+F27+F28</f>
        <v>1829.2264720705662</v>
      </c>
      <c r="G29" s="628">
        <f>+G23+G24+G25+G26+G27+G28</f>
        <v>3611.6704122450064</v>
      </c>
      <c r="H29" s="624">
        <f>+H23+H24+H25+H26+H27+H28</f>
        <v>0.28910891792523191</v>
      </c>
      <c r="I29" s="1055">
        <f>AVERAGE('[4]PIB Estructural II TRIM 2005-12'!CP28:CT28)</f>
        <v>2.0972455356866857</v>
      </c>
      <c r="J29" s="628">
        <f>+J23+J24+J25+J26+J27+J28</f>
        <v>7572.2514775639593</v>
      </c>
      <c r="K29" s="625">
        <f>SUM(K23:K28)</f>
        <v>0.29317403194778952</v>
      </c>
      <c r="L29" s="1056">
        <f>+L23+L24+L25+L26+L27+L28</f>
        <v>7549.8711240734019</v>
      </c>
      <c r="M29" s="638"/>
      <c r="N29" s="638"/>
      <c r="O29" s="638"/>
      <c r="P29" s="625">
        <f>J29/'[4]VALIDAR PIB Estruc II Trim 2011'!O29-1</f>
        <v>0.10016357910640084</v>
      </c>
      <c r="Q29" s="638"/>
      <c r="S29" s="625">
        <f>L29/'[4]VALIDAR PIB Estruc II Trim 2011'!O29-1</f>
        <v>9.6911963669328971E-2</v>
      </c>
    </row>
    <row r="30" spans="2:19">
      <c r="B30" s="638"/>
      <c r="C30" s="1248" t="s">
        <v>91</v>
      </c>
      <c r="D30" s="1249"/>
      <c r="E30" s="651">
        <f>'[4]PIB Estructural II TRIM 2005-12'!AH29</f>
        <v>50.150264142888609</v>
      </c>
      <c r="F30" s="1052">
        <f>'[4]PIB Estructural II TRIM 2005-12'!AI29</f>
        <v>49.696868566613162</v>
      </c>
      <c r="G30" s="651">
        <f t="shared" ref="G30:G35" si="5">E30+F30</f>
        <v>99.847132709501778</v>
      </c>
      <c r="H30" s="613">
        <f t="shared" si="0"/>
        <v>7.9926164906164894E-3</v>
      </c>
      <c r="I30" s="615">
        <f>AVERAGE('[4]PIB Estructural II TRIM 2005-12'!CP29:CV29)</f>
        <v>2.0333772763170423</v>
      </c>
      <c r="J30" s="651">
        <f t="shared" si="1"/>
        <v>203.02689075691299</v>
      </c>
      <c r="K30" s="619">
        <f t="shared" ref="K30:K36" si="6">J30/$J$43</f>
        <v>7.8605699154851959E-3</v>
      </c>
      <c r="L30" s="646">
        <f t="shared" ref="L30:L35" si="7">K30*$J$47</f>
        <v>202.42682965267059</v>
      </c>
      <c r="M30" s="638"/>
      <c r="N30" s="638"/>
      <c r="O30" s="638"/>
      <c r="P30" s="1051">
        <f>J30/'[4]2001-2011 Contraloría Historico'!N25-1</f>
        <v>3.2441266738909347E-2</v>
      </c>
      <c r="Q30" s="638"/>
      <c r="S30" s="1051">
        <f>L30/'[4]2001-2011 Contraloría Historico'!N25-1</f>
        <v>2.9389809642388354E-2</v>
      </c>
    </row>
    <row r="31" spans="2:19">
      <c r="B31" s="638"/>
      <c r="C31" s="1221" t="s">
        <v>92</v>
      </c>
      <c r="D31" s="1222"/>
      <c r="E31" s="651">
        <f>'[4]PIB Estructural II TRIM 2005-12'!AH30</f>
        <v>167.46069866711787</v>
      </c>
      <c r="F31" s="1052">
        <f>'[4]PIB Estructural II TRIM 2005-12'!AI30</f>
        <v>184.96961777749993</v>
      </c>
      <c r="G31" s="651">
        <f t="shared" si="5"/>
        <v>352.4303164446178</v>
      </c>
      <c r="H31" s="618">
        <f t="shared" si="0"/>
        <v>2.8211529791284433E-2</v>
      </c>
      <c r="I31" s="620">
        <f>AVERAGE('[4]PIB Estructural II TRIM 2005-12'!CP30:CV30)</f>
        <v>2.0439853799405721</v>
      </c>
      <c r="J31" s="651">
        <f t="shared" si="1"/>
        <v>720.36241426062816</v>
      </c>
      <c r="K31" s="619">
        <f t="shared" si="6"/>
        <v>2.7890192775316257E-2</v>
      </c>
      <c r="L31" s="646">
        <f t="shared" si="7"/>
        <v>718.23332946725714</v>
      </c>
      <c r="M31" s="638"/>
      <c r="N31" s="638"/>
      <c r="O31" s="638"/>
      <c r="P31" s="1051">
        <f>J31/'[4]2001-2011 Contraloría Historico'!N26-1</f>
        <v>8.6325480126366649E-2</v>
      </c>
      <c r="Q31" s="638"/>
      <c r="S31" s="1051">
        <f>L31/'[4]2001-2011 Contraloría Historico'!N26-1</f>
        <v>8.3114764221980719E-2</v>
      </c>
    </row>
    <row r="32" spans="2:19">
      <c r="B32" s="638"/>
      <c r="C32" s="1221" t="s">
        <v>93</v>
      </c>
      <c r="D32" s="1222"/>
      <c r="E32" s="651">
        <f>'[4]PIB Estructural II TRIM 2005-12'!AH31</f>
        <v>374.9561578479325</v>
      </c>
      <c r="F32" s="1052">
        <f>'[4]PIB Estructural II TRIM 2005-12'!AI31</f>
        <v>374.33719553571427</v>
      </c>
      <c r="G32" s="651">
        <f t="shared" si="5"/>
        <v>749.29335338364672</v>
      </c>
      <c r="H32" s="618">
        <f t="shared" si="0"/>
        <v>5.9979833672214683E-2</v>
      </c>
      <c r="I32" s="620">
        <f>AVERAGE('[4]PIB Estructural II TRIM 2005-12'!CP31:CV31)</f>
        <v>2.0797180453922803</v>
      </c>
      <c r="J32" s="651">
        <f t="shared" si="1"/>
        <v>1558.3189083244649</v>
      </c>
      <c r="K32" s="619">
        <f t="shared" si="6"/>
        <v>6.03332626719544E-2</v>
      </c>
      <c r="L32" s="646">
        <f t="shared" si="7"/>
        <v>1553.713180672306</v>
      </c>
      <c r="M32" s="638"/>
      <c r="N32" s="638"/>
      <c r="O32" s="638"/>
      <c r="P32" s="1051">
        <f>J32/'[4]2001-2011 Contraloría Historico'!N37-1</f>
        <v>6.145283585890926E-2</v>
      </c>
      <c r="Q32" s="638"/>
      <c r="S32" s="1051">
        <f>L32/'[4]2001-2011 Contraloría Historico'!N37-1</f>
        <v>5.8315632908048309E-2</v>
      </c>
    </row>
    <row r="33" spans="2:19">
      <c r="B33" s="638"/>
      <c r="C33" s="631" t="s">
        <v>94</v>
      </c>
      <c r="D33" s="1068"/>
      <c r="E33" s="651">
        <f>'[4]PIB Estructural II TRIM 2005-12'!AH32</f>
        <v>15.915578558324516</v>
      </c>
      <c r="F33" s="1052">
        <f>'[4]PIB Estructural II TRIM 2005-12'!AI32</f>
        <v>15.750334630963552</v>
      </c>
      <c r="G33" s="651">
        <f t="shared" si="5"/>
        <v>31.665913189288069</v>
      </c>
      <c r="H33" s="618">
        <f t="shared" si="0"/>
        <v>2.534809894676613E-3</v>
      </c>
      <c r="I33" s="620">
        <f>AVERAGE('[4]PIB Estructural II TRIM 2005-12'!CP32:CV32)</f>
        <v>1.9886742517732781</v>
      </c>
      <c r="J33" s="651">
        <f t="shared" si="1"/>
        <v>62.973186218425028</v>
      </c>
      <c r="K33" s="619">
        <f t="shared" si="6"/>
        <v>2.4381259606811173E-3</v>
      </c>
      <c r="L33" s="646">
        <f t="shared" si="7"/>
        <v>62.787064274090405</v>
      </c>
      <c r="M33" s="638"/>
      <c r="N33" s="638"/>
      <c r="O33" s="638"/>
      <c r="P33" s="1051">
        <f>J33/'[4]2001-2011 Contraloría Historico'!N29-1</f>
        <v>0.21696722874086927</v>
      </c>
      <c r="Q33" s="638"/>
      <c r="S33" s="1051">
        <f>L33/'[4]2001-2011 Contraloría Historico'!N29-1</f>
        <v>0.21337039141364356</v>
      </c>
    </row>
    <row r="34" spans="2:19">
      <c r="B34" s="638"/>
      <c r="C34" s="1252" t="s">
        <v>95</v>
      </c>
      <c r="D34" s="1253"/>
      <c r="E34" s="651">
        <f>'[4]PIB Estructural II TRIM 2005-12'!AH33</f>
        <v>568.29999999999995</v>
      </c>
      <c r="F34" s="1052">
        <f>'[4]PIB Estructural II TRIM 2005-12'!AI33</f>
        <v>575.9</v>
      </c>
      <c r="G34" s="651">
        <f t="shared" si="5"/>
        <v>1144.1999999999998</v>
      </c>
      <c r="H34" s="618">
        <f t="shared" si="0"/>
        <v>9.1591531377977195E-2</v>
      </c>
      <c r="I34" s="620">
        <f>AVERAGE('[4]PIB Estructural II TRIM 2005-12'!CP33:CV33)</f>
        <v>2.0300071006068676</v>
      </c>
      <c r="J34" s="651">
        <f t="shared" si="1"/>
        <v>2322.7341245143775</v>
      </c>
      <c r="K34" s="619">
        <f t="shared" si="6"/>
        <v>8.9929042959580874E-2</v>
      </c>
      <c r="L34" s="646">
        <f t="shared" si="7"/>
        <v>2315.8691107301374</v>
      </c>
      <c r="M34" s="638"/>
      <c r="N34" s="638"/>
      <c r="O34" s="638"/>
      <c r="P34" s="1051">
        <f>J34/'[4]2001-2011 Contraloría Historico'!N30-1</f>
        <v>6.2363301466886956E-2</v>
      </c>
      <c r="Q34" s="638"/>
      <c r="S34" s="1051">
        <f>L34/'[4]2001-2011 Contraloría Historico'!N30-1</f>
        <v>5.922340756707789E-2</v>
      </c>
    </row>
    <row r="35" spans="2:19">
      <c r="B35" s="638"/>
      <c r="C35" s="632" t="s">
        <v>96</v>
      </c>
      <c r="D35" s="1069"/>
      <c r="E35" s="651">
        <f>'[4]PIB Estructural II TRIM 2005-12'!AH34</f>
        <v>30.473140665002351</v>
      </c>
      <c r="F35" s="1052">
        <f>'[4]PIB Estructural II TRIM 2005-12'!AI34</f>
        <v>32.126434999999994</v>
      </c>
      <c r="G35" s="651">
        <f t="shared" si="5"/>
        <v>62.599575665002348</v>
      </c>
      <c r="H35" s="618">
        <f t="shared" si="0"/>
        <v>5.0110041939950365E-3</v>
      </c>
      <c r="I35" s="620">
        <f>AVERAGE('[4]PIB Estructural II TRIM 2005-12'!CP34:CV34)</f>
        <v>2.0094471057108554</v>
      </c>
      <c r="J35" s="651">
        <f t="shared" si="1"/>
        <v>125.79053613876667</v>
      </c>
      <c r="K35" s="619">
        <f t="shared" si="6"/>
        <v>4.8702184244599871E-3</v>
      </c>
      <c r="L35" s="646">
        <f t="shared" si="7"/>
        <v>125.4187528358886</v>
      </c>
      <c r="M35" s="638"/>
      <c r="N35" s="638"/>
      <c r="O35" s="638"/>
      <c r="P35" s="1051">
        <f>J35/'[4]2001-2011 Contraloría Historico'!N31-1</f>
        <v>5.2895102989481746E-2</v>
      </c>
      <c r="Q35" s="638"/>
      <c r="S35" s="1051">
        <f>L35/'[4]2001-2011 Contraloría Historico'!N31-1</f>
        <v>4.9783193055798369E-2</v>
      </c>
    </row>
    <row r="36" spans="2:19">
      <c r="B36" s="638"/>
      <c r="C36" s="982" t="s">
        <v>97</v>
      </c>
      <c r="D36" s="1070"/>
      <c r="E36" s="651">
        <f>'[4]PIB Estructural II TRIM 2005-12'!AH35</f>
        <v>614.68871922332687</v>
      </c>
      <c r="F36" s="1052">
        <f>'[4]PIB Estructural II TRIM 2005-12'!AI35</f>
        <v>623.7767696309636</v>
      </c>
      <c r="G36" s="651">
        <f>SUM(G33:G35)</f>
        <v>1238.4654888542902</v>
      </c>
      <c r="H36" s="618">
        <f>SUM(H33:H35)</f>
        <v>9.9137345466648846E-2</v>
      </c>
      <c r="I36" s="1054">
        <f>AVERAGE('[4]PIB Estructural II TRIM 2005-12'!CP35:CV35)</f>
        <v>2.0277726900808086</v>
      </c>
      <c r="J36" s="651">
        <f>SUM(J33:J35)</f>
        <v>2511.497846871569</v>
      </c>
      <c r="K36" s="619">
        <f t="shared" si="6"/>
        <v>9.7237387344721968E-2</v>
      </c>
      <c r="L36" s="646">
        <f>K36*$J$47</f>
        <v>2504.0749278401163</v>
      </c>
      <c r="M36" s="638"/>
      <c r="N36" s="638"/>
      <c r="O36" s="638"/>
      <c r="P36" s="1051"/>
      <c r="Q36" s="638"/>
      <c r="S36" s="1051"/>
    </row>
    <row r="37" spans="2:19" ht="13.5" thickBot="1">
      <c r="B37" s="638"/>
      <c r="C37" s="1224" t="s">
        <v>98</v>
      </c>
      <c r="D37" s="1225"/>
      <c r="E37" s="628">
        <f>+E30+E31+E32+E36</f>
        <v>1207.2558398812657</v>
      </c>
      <c r="F37" s="633">
        <f>+F30+F31+F32+F36</f>
        <v>1232.780451510791</v>
      </c>
      <c r="G37" s="628">
        <f>+G30+G31+G32+G36</f>
        <v>2440.0362913920562</v>
      </c>
      <c r="H37" s="625">
        <f>+H30+H31+H32+H36</f>
        <v>0.19532132542076447</v>
      </c>
      <c r="I37" s="1055">
        <f>AVERAGE('[4]PIB Estructural II TRIM 2005-12'!CP36:CT36)</f>
        <v>2.0521201372275737</v>
      </c>
      <c r="J37" s="628">
        <f>+J30+J31+J32+J36</f>
        <v>4993.2060602135753</v>
      </c>
      <c r="K37" s="625">
        <f>+K30+K31+K32+K36</f>
        <v>0.19332141270747782</v>
      </c>
      <c r="L37" s="1056">
        <f>+L30+L31+L32+L36</f>
        <v>4978.4482676323496</v>
      </c>
      <c r="M37" s="638"/>
      <c r="N37" s="638"/>
      <c r="O37" s="638"/>
      <c r="P37" s="625">
        <f>J37/'[4]VALIDAR PIB Estruc II Trim 2011'!O37-1</f>
        <v>6.5679507887159483E-2</v>
      </c>
      <c r="Q37" s="638"/>
      <c r="S37" s="625">
        <f>L37/'[4]VALIDAR PIB Estruc II Trim 2011'!O37-1</f>
        <v>6.2529812692167175E-2</v>
      </c>
    </row>
    <row r="38" spans="2:19">
      <c r="B38" s="638"/>
      <c r="C38" s="981" t="s">
        <v>99</v>
      </c>
      <c r="D38" s="1071"/>
      <c r="E38" s="651"/>
      <c r="F38" s="1052"/>
      <c r="G38" s="651"/>
      <c r="H38" s="613"/>
      <c r="I38" s="615"/>
      <c r="J38" s="1072"/>
      <c r="K38" s="619">
        <f>J38/$J$43</f>
        <v>0</v>
      </c>
      <c r="L38" s="646">
        <f>K38*$L$43</f>
        <v>0</v>
      </c>
      <c r="M38" s="638"/>
      <c r="N38" s="638"/>
      <c r="O38" s="638"/>
      <c r="P38" s="1073"/>
      <c r="Q38" s="638"/>
      <c r="S38" s="1073"/>
    </row>
    <row r="39" spans="2:19">
      <c r="B39" s="638"/>
      <c r="C39" s="982" t="s">
        <v>100</v>
      </c>
      <c r="D39" s="1070"/>
      <c r="E39" s="651"/>
      <c r="F39" s="1052"/>
      <c r="G39" s="651"/>
      <c r="H39" s="618"/>
      <c r="I39" s="620"/>
      <c r="J39" s="1072"/>
      <c r="K39" s="619">
        <f>J39/$J$43</f>
        <v>0</v>
      </c>
      <c r="L39" s="646">
        <f>K39*$L$43</f>
        <v>0</v>
      </c>
      <c r="M39" s="638"/>
      <c r="N39" s="638"/>
      <c r="O39" s="638"/>
      <c r="P39" s="1073"/>
      <c r="Q39" s="638"/>
      <c r="S39" s="1073"/>
    </row>
    <row r="40" spans="2:19">
      <c r="B40" s="638"/>
      <c r="C40" s="982" t="s">
        <v>101</v>
      </c>
      <c r="D40" s="1070"/>
      <c r="E40" s="651"/>
      <c r="F40" s="1052"/>
      <c r="G40" s="651"/>
      <c r="H40" s="618"/>
      <c r="I40" s="620"/>
      <c r="J40" s="1072"/>
      <c r="K40" s="619">
        <f>J40/$J$43</f>
        <v>0</v>
      </c>
      <c r="L40" s="646">
        <f>K40*$L$43</f>
        <v>0</v>
      </c>
      <c r="M40" s="638"/>
      <c r="N40" s="638"/>
      <c r="O40" s="638"/>
      <c r="P40" s="1073"/>
      <c r="Q40" s="638"/>
      <c r="S40" s="1073"/>
    </row>
    <row r="41" spans="2:19">
      <c r="B41" s="638"/>
      <c r="C41" s="982" t="s">
        <v>102</v>
      </c>
      <c r="D41" s="1070"/>
      <c r="E41" s="1064"/>
      <c r="F41" s="1063"/>
      <c r="G41" s="1064"/>
      <c r="H41" s="1053"/>
      <c r="I41" s="1054"/>
      <c r="J41" s="1072"/>
      <c r="K41" s="619">
        <f>J41/$J$43</f>
        <v>0</v>
      </c>
      <c r="L41" s="646">
        <f>K41*$L$43</f>
        <v>0</v>
      </c>
      <c r="M41" s="638"/>
      <c r="N41" s="638"/>
      <c r="O41" s="638"/>
      <c r="P41" s="1073"/>
      <c r="Q41" s="638"/>
      <c r="S41" s="1073"/>
    </row>
    <row r="42" spans="2:19" ht="13.5" thickBot="1">
      <c r="B42" s="638"/>
      <c r="C42" s="1224" t="s">
        <v>103</v>
      </c>
      <c r="D42" s="1225"/>
      <c r="E42" s="1074">
        <f>'[4]PIB Estructural II TRIM 2005-12'!AH41</f>
        <v>344.26557478126921</v>
      </c>
      <c r="F42" s="1075">
        <f>'[4]PIB Estructural II TRIM 2005-12'!AI41</f>
        <v>437.45073281577328</v>
      </c>
      <c r="G42" s="1075">
        <f>E42+F42</f>
        <v>781.71630759704249</v>
      </c>
      <c r="H42" s="624">
        <f t="shared" si="0"/>
        <v>6.2575243590238597E-2</v>
      </c>
      <c r="I42" s="620">
        <f>AVERAGE('[4]PIB Estructural II TRIM 2005-12'!CP41:CV41)</f>
        <v>2.2755993785414264</v>
      </c>
      <c r="J42" s="628">
        <f>G42*I42</f>
        <v>1778.8731437635283</v>
      </c>
      <c r="K42" s="625">
        <f>(J42/$J$43)</f>
        <v>6.8872436873764459E-2</v>
      </c>
      <c r="L42" s="1076">
        <f>K42*$J$47</f>
        <v>1773.6155516338633</v>
      </c>
      <c r="M42" s="638"/>
      <c r="N42" s="638"/>
      <c r="O42" s="638"/>
      <c r="P42" s="625">
        <f>J42/'[4]VALIDAR PIB Estruc II Trim 2011'!O42-1</f>
        <v>9.8951716663698397E-2</v>
      </c>
      <c r="Q42" s="638"/>
      <c r="S42" s="625">
        <f>L42/'[4]VALIDAR PIB Estruc II Trim 2011'!O42-1</f>
        <v>9.5703682976378213E-2</v>
      </c>
    </row>
    <row r="43" spans="2:19" ht="13.5" thickBot="1">
      <c r="B43" s="638"/>
      <c r="C43" s="1077" t="s">
        <v>104</v>
      </c>
      <c r="D43" s="1078"/>
      <c r="E43" s="679">
        <f>+E42+E37+E29+E22+E17</f>
        <v>6179.4356915889166</v>
      </c>
      <c r="F43" s="1079">
        <f>+F42+F37+F29+F22+F17</f>
        <v>6312.9856358605566</v>
      </c>
      <c r="G43" s="1080">
        <f>+G42+G37+G29+G22+G17</f>
        <v>12492.421327449472</v>
      </c>
      <c r="H43" s="1081">
        <f>+H42+H37+H29+H22+H17</f>
        <v>1</v>
      </c>
      <c r="I43" s="1082">
        <f>AVERAGE('[4]PIB Estructural II TRIM 2005-12'!CP42:CV42)</f>
        <v>2.0614244149590464</v>
      </c>
      <c r="J43" s="679">
        <f>+J42+J37+J29+J22+J17</f>
        <v>25828.520443149202</v>
      </c>
      <c r="K43" s="1083">
        <f>+K42+K37+K29+K22+K17</f>
        <v>1</v>
      </c>
      <c r="L43" s="681">
        <f>+L42+L37+L29+L22+L17</f>
        <v>25752.182326359442</v>
      </c>
      <c r="M43" s="638"/>
      <c r="N43" s="638"/>
      <c r="O43" s="638"/>
      <c r="P43" s="1084">
        <f>J43/'[4]VALIDAR PIB Estruc II Trim 2011'!O43-1</f>
        <v>0.10985532611072113</v>
      </c>
      <c r="Q43" s="638"/>
      <c r="S43" s="1084">
        <f>L43/'[4]2001-2011 Contraloría Historico'!N43-1</f>
        <v>0.10657392955668699</v>
      </c>
    </row>
    <row r="44" spans="2:19" ht="13.5" thickBot="1">
      <c r="B44" s="638"/>
      <c r="C44" s="638"/>
      <c r="D44" s="638"/>
      <c r="E44" s="687"/>
      <c r="F44" s="687"/>
      <c r="G44" s="687"/>
      <c r="H44" s="638"/>
      <c r="I44" s="638"/>
      <c r="J44" s="638"/>
      <c r="K44" s="638"/>
      <c r="L44" s="638"/>
      <c r="M44" s="638"/>
      <c r="N44" s="638"/>
      <c r="O44" s="638"/>
      <c r="P44" s="638"/>
      <c r="Q44" s="638"/>
    </row>
    <row r="45" spans="2:19" ht="14.25" thickTop="1" thickBot="1">
      <c r="B45" s="638"/>
      <c r="C45" s="634" t="s">
        <v>414</v>
      </c>
      <c r="D45" s="638"/>
      <c r="E45" s="635">
        <f>(E43/'[4]PIB Estructural II TRIM 2005-12'!AD42)-1</f>
        <v>0.10810920344111996</v>
      </c>
      <c r="F45" s="635">
        <f>(F43/'[4]PIB Estructural II TRIM 2005-12'!AE42)-1</f>
        <v>0.10357673007921009</v>
      </c>
      <c r="G45" s="635">
        <f>(G43/'[4]PIB Estructural II TRIM 2005-12'!AF42)-1</f>
        <v>0.1058140959754863</v>
      </c>
      <c r="H45" s="638"/>
      <c r="I45" s="638"/>
      <c r="J45" s="636">
        <f>J43/'[4]2001-2011 Contraloría Historico'!N43-1</f>
        <v>0.10985418630543387</v>
      </c>
      <c r="K45" s="638"/>
      <c r="L45" s="635">
        <f>L43/'[4]2001-2011 Contraloría Historico'!N43-1</f>
        <v>0.10657392955668699</v>
      </c>
      <c r="M45" s="638"/>
      <c r="N45" s="638"/>
      <c r="O45" s="638"/>
      <c r="P45" s="638"/>
      <c r="Q45" s="638"/>
    </row>
    <row r="46" spans="2:19" ht="13.5" thickTop="1">
      <c r="B46" s="638"/>
      <c r="C46" s="638"/>
      <c r="D46" s="638"/>
      <c r="E46" s="638"/>
      <c r="F46" s="635">
        <f>F43/E43-1</f>
        <v>2.1611996780453557E-2</v>
      </c>
      <c r="G46" s="638"/>
      <c r="H46" s="638"/>
      <c r="I46" s="638"/>
      <c r="J46" s="638"/>
      <c r="K46" s="638"/>
      <c r="L46" s="638"/>
      <c r="M46" s="638"/>
      <c r="N46" s="638"/>
      <c r="O46" s="638"/>
      <c r="P46" s="638"/>
      <c r="Q46" s="638"/>
    </row>
    <row r="47" spans="2:19">
      <c r="B47" s="638"/>
      <c r="C47" s="1085" t="s">
        <v>616</v>
      </c>
      <c r="D47" s="638"/>
      <c r="E47" s="638"/>
      <c r="F47" s="635"/>
      <c r="G47" s="638"/>
      <c r="H47" s="638"/>
      <c r="I47" s="638"/>
      <c r="J47" s="692">
        <f>G43*I43</f>
        <v>25752.182326359442</v>
      </c>
      <c r="K47" s="638"/>
      <c r="L47" s="638"/>
      <c r="M47" s="638"/>
      <c r="N47" s="638"/>
      <c r="O47" s="638"/>
      <c r="P47" s="638"/>
      <c r="Q47" s="638"/>
    </row>
    <row r="48" spans="2:19" ht="13.5" thickBot="1">
      <c r="B48" s="638"/>
      <c r="C48" s="638"/>
      <c r="D48" s="638"/>
      <c r="E48" s="638"/>
      <c r="F48" s="635"/>
      <c r="G48" s="638"/>
      <c r="H48" s="638"/>
      <c r="I48" s="638"/>
      <c r="J48" s="638"/>
      <c r="K48" s="638"/>
      <c r="L48" s="638"/>
      <c r="M48" s="638"/>
      <c r="N48" s="638"/>
      <c r="O48" s="638"/>
      <c r="P48" s="638"/>
      <c r="Q48" s="638"/>
    </row>
    <row r="49" spans="2:17" ht="14.25" thickTop="1" thickBot="1">
      <c r="B49" s="637"/>
      <c r="C49" s="638"/>
      <c r="D49" s="638"/>
      <c r="E49" s="638"/>
      <c r="F49" s="638"/>
      <c r="G49" s="612"/>
      <c r="H49" s="638"/>
      <c r="I49" s="638"/>
      <c r="J49" s="636">
        <f>J47/'[4]2001-2011 Contraloría Historico'!N43-1</f>
        <v>0.10657392955668699</v>
      </c>
      <c r="K49" s="638"/>
      <c r="L49" s="638"/>
      <c r="M49" s="638"/>
      <c r="N49" s="638"/>
      <c r="O49" s="638"/>
      <c r="P49" s="638"/>
      <c r="Q49" s="638"/>
    </row>
    <row r="50" spans="2:17" ht="13.5" thickTop="1">
      <c r="B50" s="638"/>
      <c r="C50" s="638"/>
      <c r="D50" s="638"/>
      <c r="E50" s="638"/>
      <c r="F50" s="638"/>
      <c r="G50" s="638"/>
      <c r="H50" s="638"/>
      <c r="I50" s="638"/>
      <c r="J50" s="638"/>
      <c r="K50" s="638"/>
      <c r="L50" s="638"/>
      <c r="M50" s="638"/>
      <c r="N50" s="638"/>
      <c r="O50" s="638"/>
      <c r="P50" s="638"/>
      <c r="Q50" s="638"/>
    </row>
    <row r="51" spans="2:17">
      <c r="B51" s="638"/>
      <c r="C51" s="637" t="s">
        <v>613</v>
      </c>
      <c r="D51" s="638"/>
      <c r="E51" s="638"/>
      <c r="F51" s="638"/>
      <c r="G51" s="638"/>
      <c r="H51" s="638"/>
      <c r="I51" s="638"/>
      <c r="J51" s="638"/>
      <c r="K51" s="638"/>
      <c r="L51" s="638"/>
      <c r="M51" s="638"/>
      <c r="N51" s="638"/>
      <c r="O51" s="638"/>
      <c r="P51" s="638"/>
      <c r="Q51" s="638"/>
    </row>
    <row r="52" spans="2:17">
      <c r="B52" s="638"/>
      <c r="C52" s="638"/>
      <c r="D52" s="638"/>
      <c r="E52" s="638"/>
      <c r="F52" s="638"/>
      <c r="G52" s="638"/>
      <c r="H52" s="638"/>
      <c r="I52" s="638"/>
      <c r="J52" s="638"/>
      <c r="K52" s="638"/>
      <c r="L52" s="638"/>
      <c r="M52" s="638"/>
      <c r="N52" s="638"/>
      <c r="O52" s="638"/>
      <c r="P52" s="638"/>
      <c r="Q52" s="638"/>
    </row>
    <row r="53" spans="2:17">
      <c r="L53" s="638"/>
      <c r="M53" s="638"/>
      <c r="N53" s="638"/>
      <c r="O53" s="638"/>
      <c r="P53" s="638"/>
      <c r="Q53" s="638"/>
    </row>
  </sheetData>
  <mergeCells count="38">
    <mergeCell ref="C32:D32"/>
    <mergeCell ref="C34:D34"/>
    <mergeCell ref="C37:D37"/>
    <mergeCell ref="C42:D42"/>
    <mergeCell ref="C26:D26"/>
    <mergeCell ref="C27:D27"/>
    <mergeCell ref="C28:D28"/>
    <mergeCell ref="C29:D29"/>
    <mergeCell ref="C30:D30"/>
    <mergeCell ref="C31:D31"/>
    <mergeCell ref="C25:D25"/>
    <mergeCell ref="C14:D14"/>
    <mergeCell ref="C15:D15"/>
    <mergeCell ref="C16:D16"/>
    <mergeCell ref="C17:D17"/>
    <mergeCell ref="C18:D18"/>
    <mergeCell ref="C19:D19"/>
    <mergeCell ref="C20:D20"/>
    <mergeCell ref="C21:D21"/>
    <mergeCell ref="C22:D22"/>
    <mergeCell ref="C23:D23"/>
    <mergeCell ref="C24:D24"/>
    <mergeCell ref="S12:S13"/>
    <mergeCell ref="C2:L2"/>
    <mergeCell ref="C3:L3"/>
    <mergeCell ref="C4:L4"/>
    <mergeCell ref="C5:L5"/>
    <mergeCell ref="C6:L6"/>
    <mergeCell ref="C12:D13"/>
    <mergeCell ref="E12:E13"/>
    <mergeCell ref="F12:F13"/>
    <mergeCell ref="G12:G13"/>
    <mergeCell ref="H12:H13"/>
    <mergeCell ref="I12:I13"/>
    <mergeCell ref="J12:J13"/>
    <mergeCell ref="K12:K13"/>
    <mergeCell ref="L12:L13"/>
    <mergeCell ref="P12:P13"/>
  </mergeCells>
  <printOptions horizontalCentered="1"/>
  <pageMargins left="0.39370078740157483" right="0.39370078740157483" top="0.98425196850393704" bottom="0.78740157480314965" header="0.59055118110236227" footer="0.39370078740157483"/>
  <pageSetup scale="58" orientation="landscape" r:id="rId1"/>
  <headerFooter alignWithMargins="0">
    <oddHeader>&amp;C&amp;"Arial,Negrita"&amp;24PIB ESTIMADO AL 2011 
SEGUN ACTIVIDAD ECONOMICA Y DIVISION ECONOMICA  POR TRIMESTRE
SEGUNDO TRIMESTRE DE 2011&amp;"Arial,Normal"&amp;10
&amp;18( En millones de balboas de 1996)</oddHeader>
    <oddFooter>&amp;L&amp;8ESTUDIO BASICO DE LA DEMANDA 2012-2026 CCB
&amp;D &amp;T&amp;R&amp;8&amp;F/  &amp;A</oddFooter>
  </headerFooter>
  <legacyDrawing r:id="rId2"/>
</worksheet>
</file>

<file path=xl/worksheets/sheet7.xml><?xml version="1.0" encoding="utf-8"?>
<worksheet xmlns="http://schemas.openxmlformats.org/spreadsheetml/2006/main" xmlns:r="http://schemas.openxmlformats.org/officeDocument/2006/relationships">
  <sheetPr>
    <tabColor rgb="FFFFFF00"/>
    <pageSetUpPr fitToPage="1"/>
  </sheetPr>
  <dimension ref="B2:S67"/>
  <sheetViews>
    <sheetView topLeftCell="G8" zoomScaleNormal="100" workbookViewId="0">
      <selection activeCell="C2" sqref="C2:R2"/>
    </sheetView>
  </sheetViews>
  <sheetFormatPr baseColWidth="10" defaultRowHeight="12.75"/>
  <cols>
    <col min="1" max="2" width="6.5703125" style="238" customWidth="1"/>
    <col min="3" max="3" width="40.85546875" style="238" customWidth="1"/>
    <col min="4" max="4" width="14.42578125" style="247" customWidth="1"/>
    <col min="5" max="7" width="12.42578125" style="238" customWidth="1"/>
    <col min="8" max="14" width="11.42578125" style="238"/>
    <col min="15" max="16" width="13.140625" style="238" customWidth="1"/>
    <col min="17" max="17" width="11.42578125" style="238"/>
    <col min="18" max="18" width="12" style="238" customWidth="1"/>
    <col min="19" max="19" width="6.42578125" style="238" customWidth="1"/>
    <col min="20" max="256" width="11.42578125" style="238"/>
    <col min="257" max="258" width="6.5703125" style="238" customWidth="1"/>
    <col min="259" max="259" width="40.85546875" style="238" customWidth="1"/>
    <col min="260" max="260" width="14.42578125" style="238" customWidth="1"/>
    <col min="261" max="263" width="12.42578125" style="238" customWidth="1"/>
    <col min="264" max="270" width="11.42578125" style="238"/>
    <col min="271" max="272" width="13.140625" style="238" customWidth="1"/>
    <col min="273" max="273" width="11.42578125" style="238"/>
    <col min="274" max="274" width="12" style="238" customWidth="1"/>
    <col min="275" max="275" width="6.42578125" style="238" customWidth="1"/>
    <col min="276" max="512" width="11.42578125" style="238"/>
    <col min="513" max="514" width="6.5703125" style="238" customWidth="1"/>
    <col min="515" max="515" width="40.85546875" style="238" customWidth="1"/>
    <col min="516" max="516" width="14.42578125" style="238" customWidth="1"/>
    <col min="517" max="519" width="12.42578125" style="238" customWidth="1"/>
    <col min="520" max="526" width="11.42578125" style="238"/>
    <col min="527" max="528" width="13.140625" style="238" customWidth="1"/>
    <col min="529" max="529" width="11.42578125" style="238"/>
    <col min="530" max="530" width="12" style="238" customWidth="1"/>
    <col min="531" max="531" width="6.42578125" style="238" customWidth="1"/>
    <col min="532" max="768" width="11.42578125" style="238"/>
    <col min="769" max="770" width="6.5703125" style="238" customWidth="1"/>
    <col min="771" max="771" width="40.85546875" style="238" customWidth="1"/>
    <col min="772" max="772" width="14.42578125" style="238" customWidth="1"/>
    <col min="773" max="775" width="12.42578125" style="238" customWidth="1"/>
    <col min="776" max="782" width="11.42578125" style="238"/>
    <col min="783" max="784" width="13.140625" style="238" customWidth="1"/>
    <col min="785" max="785" width="11.42578125" style="238"/>
    <col min="786" max="786" width="12" style="238" customWidth="1"/>
    <col min="787" max="787" width="6.42578125" style="238" customWidth="1"/>
    <col min="788" max="1024" width="11.42578125" style="238"/>
    <col min="1025" max="1026" width="6.5703125" style="238" customWidth="1"/>
    <col min="1027" max="1027" width="40.85546875" style="238" customWidth="1"/>
    <col min="1028" max="1028" width="14.42578125" style="238" customWidth="1"/>
    <col min="1029" max="1031" width="12.42578125" style="238" customWidth="1"/>
    <col min="1032" max="1038" width="11.42578125" style="238"/>
    <col min="1039" max="1040" width="13.140625" style="238" customWidth="1"/>
    <col min="1041" max="1041" width="11.42578125" style="238"/>
    <col min="1042" max="1042" width="12" style="238" customWidth="1"/>
    <col min="1043" max="1043" width="6.42578125" style="238" customWidth="1"/>
    <col min="1044" max="1280" width="11.42578125" style="238"/>
    <col min="1281" max="1282" width="6.5703125" style="238" customWidth="1"/>
    <col min="1283" max="1283" width="40.85546875" style="238" customWidth="1"/>
    <col min="1284" max="1284" width="14.42578125" style="238" customWidth="1"/>
    <col min="1285" max="1287" width="12.42578125" style="238" customWidth="1"/>
    <col min="1288" max="1294" width="11.42578125" style="238"/>
    <col min="1295" max="1296" width="13.140625" style="238" customWidth="1"/>
    <col min="1297" max="1297" width="11.42578125" style="238"/>
    <col min="1298" max="1298" width="12" style="238" customWidth="1"/>
    <col min="1299" max="1299" width="6.42578125" style="238" customWidth="1"/>
    <col min="1300" max="1536" width="11.42578125" style="238"/>
    <col min="1537" max="1538" width="6.5703125" style="238" customWidth="1"/>
    <col min="1539" max="1539" width="40.85546875" style="238" customWidth="1"/>
    <col min="1540" max="1540" width="14.42578125" style="238" customWidth="1"/>
    <col min="1541" max="1543" width="12.42578125" style="238" customWidth="1"/>
    <col min="1544" max="1550" width="11.42578125" style="238"/>
    <col min="1551" max="1552" width="13.140625" style="238" customWidth="1"/>
    <col min="1553" max="1553" width="11.42578125" style="238"/>
    <col min="1554" max="1554" width="12" style="238" customWidth="1"/>
    <col min="1555" max="1555" width="6.42578125" style="238" customWidth="1"/>
    <col min="1556" max="1792" width="11.42578125" style="238"/>
    <col min="1793" max="1794" width="6.5703125" style="238" customWidth="1"/>
    <col min="1795" max="1795" width="40.85546875" style="238" customWidth="1"/>
    <col min="1796" max="1796" width="14.42578125" style="238" customWidth="1"/>
    <col min="1797" max="1799" width="12.42578125" style="238" customWidth="1"/>
    <col min="1800" max="1806" width="11.42578125" style="238"/>
    <col min="1807" max="1808" width="13.140625" style="238" customWidth="1"/>
    <col min="1809" max="1809" width="11.42578125" style="238"/>
    <col min="1810" max="1810" width="12" style="238" customWidth="1"/>
    <col min="1811" max="1811" width="6.42578125" style="238" customWidth="1"/>
    <col min="1812" max="2048" width="11.42578125" style="238"/>
    <col min="2049" max="2050" width="6.5703125" style="238" customWidth="1"/>
    <col min="2051" max="2051" width="40.85546875" style="238" customWidth="1"/>
    <col min="2052" max="2052" width="14.42578125" style="238" customWidth="1"/>
    <col min="2053" max="2055" width="12.42578125" style="238" customWidth="1"/>
    <col min="2056" max="2062" width="11.42578125" style="238"/>
    <col min="2063" max="2064" width="13.140625" style="238" customWidth="1"/>
    <col min="2065" max="2065" width="11.42578125" style="238"/>
    <col min="2066" max="2066" width="12" style="238" customWidth="1"/>
    <col min="2067" max="2067" width="6.42578125" style="238" customWidth="1"/>
    <col min="2068" max="2304" width="11.42578125" style="238"/>
    <col min="2305" max="2306" width="6.5703125" style="238" customWidth="1"/>
    <col min="2307" max="2307" width="40.85546875" style="238" customWidth="1"/>
    <col min="2308" max="2308" width="14.42578125" style="238" customWidth="1"/>
    <col min="2309" max="2311" width="12.42578125" style="238" customWidth="1"/>
    <col min="2312" max="2318" width="11.42578125" style="238"/>
    <col min="2319" max="2320" width="13.140625" style="238" customWidth="1"/>
    <col min="2321" max="2321" width="11.42578125" style="238"/>
    <col min="2322" max="2322" width="12" style="238" customWidth="1"/>
    <col min="2323" max="2323" width="6.42578125" style="238" customWidth="1"/>
    <col min="2324" max="2560" width="11.42578125" style="238"/>
    <col min="2561" max="2562" width="6.5703125" style="238" customWidth="1"/>
    <col min="2563" max="2563" width="40.85546875" style="238" customWidth="1"/>
    <col min="2564" max="2564" width="14.42578125" style="238" customWidth="1"/>
    <col min="2565" max="2567" width="12.42578125" style="238" customWidth="1"/>
    <col min="2568" max="2574" width="11.42578125" style="238"/>
    <col min="2575" max="2576" width="13.140625" style="238" customWidth="1"/>
    <col min="2577" max="2577" width="11.42578125" style="238"/>
    <col min="2578" max="2578" width="12" style="238" customWidth="1"/>
    <col min="2579" max="2579" width="6.42578125" style="238" customWidth="1"/>
    <col min="2580" max="2816" width="11.42578125" style="238"/>
    <col min="2817" max="2818" width="6.5703125" style="238" customWidth="1"/>
    <col min="2819" max="2819" width="40.85546875" style="238" customWidth="1"/>
    <col min="2820" max="2820" width="14.42578125" style="238" customWidth="1"/>
    <col min="2821" max="2823" width="12.42578125" style="238" customWidth="1"/>
    <col min="2824" max="2830" width="11.42578125" style="238"/>
    <col min="2831" max="2832" width="13.140625" style="238" customWidth="1"/>
    <col min="2833" max="2833" width="11.42578125" style="238"/>
    <col min="2834" max="2834" width="12" style="238" customWidth="1"/>
    <col min="2835" max="2835" width="6.42578125" style="238" customWidth="1"/>
    <col min="2836" max="3072" width="11.42578125" style="238"/>
    <col min="3073" max="3074" width="6.5703125" style="238" customWidth="1"/>
    <col min="3075" max="3075" width="40.85546875" style="238" customWidth="1"/>
    <col min="3076" max="3076" width="14.42578125" style="238" customWidth="1"/>
    <col min="3077" max="3079" width="12.42578125" style="238" customWidth="1"/>
    <col min="3080" max="3086" width="11.42578125" style="238"/>
    <col min="3087" max="3088" width="13.140625" style="238" customWidth="1"/>
    <col min="3089" max="3089" width="11.42578125" style="238"/>
    <col min="3090" max="3090" width="12" style="238" customWidth="1"/>
    <col min="3091" max="3091" width="6.42578125" style="238" customWidth="1"/>
    <col min="3092" max="3328" width="11.42578125" style="238"/>
    <col min="3329" max="3330" width="6.5703125" style="238" customWidth="1"/>
    <col min="3331" max="3331" width="40.85546875" style="238" customWidth="1"/>
    <col min="3332" max="3332" width="14.42578125" style="238" customWidth="1"/>
    <col min="3333" max="3335" width="12.42578125" style="238" customWidth="1"/>
    <col min="3336" max="3342" width="11.42578125" style="238"/>
    <col min="3343" max="3344" width="13.140625" style="238" customWidth="1"/>
    <col min="3345" max="3345" width="11.42578125" style="238"/>
    <col min="3346" max="3346" width="12" style="238" customWidth="1"/>
    <col min="3347" max="3347" width="6.42578125" style="238" customWidth="1"/>
    <col min="3348" max="3584" width="11.42578125" style="238"/>
    <col min="3585" max="3586" width="6.5703125" style="238" customWidth="1"/>
    <col min="3587" max="3587" width="40.85546875" style="238" customWidth="1"/>
    <col min="3588" max="3588" width="14.42578125" style="238" customWidth="1"/>
    <col min="3589" max="3591" width="12.42578125" style="238" customWidth="1"/>
    <col min="3592" max="3598" width="11.42578125" style="238"/>
    <col min="3599" max="3600" width="13.140625" style="238" customWidth="1"/>
    <col min="3601" max="3601" width="11.42578125" style="238"/>
    <col min="3602" max="3602" width="12" style="238" customWidth="1"/>
    <col min="3603" max="3603" width="6.42578125" style="238" customWidth="1"/>
    <col min="3604" max="3840" width="11.42578125" style="238"/>
    <col min="3841" max="3842" width="6.5703125" style="238" customWidth="1"/>
    <col min="3843" max="3843" width="40.85546875" style="238" customWidth="1"/>
    <col min="3844" max="3844" width="14.42578125" style="238" customWidth="1"/>
    <col min="3845" max="3847" width="12.42578125" style="238" customWidth="1"/>
    <col min="3848" max="3854" width="11.42578125" style="238"/>
    <col min="3855" max="3856" width="13.140625" style="238" customWidth="1"/>
    <col min="3857" max="3857" width="11.42578125" style="238"/>
    <col min="3858" max="3858" width="12" style="238" customWidth="1"/>
    <col min="3859" max="3859" width="6.42578125" style="238" customWidth="1"/>
    <col min="3860" max="4096" width="11.42578125" style="238"/>
    <col min="4097" max="4098" width="6.5703125" style="238" customWidth="1"/>
    <col min="4099" max="4099" width="40.85546875" style="238" customWidth="1"/>
    <col min="4100" max="4100" width="14.42578125" style="238" customWidth="1"/>
    <col min="4101" max="4103" width="12.42578125" style="238" customWidth="1"/>
    <col min="4104" max="4110" width="11.42578125" style="238"/>
    <col min="4111" max="4112" width="13.140625" style="238" customWidth="1"/>
    <col min="4113" max="4113" width="11.42578125" style="238"/>
    <col min="4114" max="4114" width="12" style="238" customWidth="1"/>
    <col min="4115" max="4115" width="6.42578125" style="238" customWidth="1"/>
    <col min="4116" max="4352" width="11.42578125" style="238"/>
    <col min="4353" max="4354" width="6.5703125" style="238" customWidth="1"/>
    <col min="4355" max="4355" width="40.85546875" style="238" customWidth="1"/>
    <col min="4356" max="4356" width="14.42578125" style="238" customWidth="1"/>
    <col min="4357" max="4359" width="12.42578125" style="238" customWidth="1"/>
    <col min="4360" max="4366" width="11.42578125" style="238"/>
    <col min="4367" max="4368" width="13.140625" style="238" customWidth="1"/>
    <col min="4369" max="4369" width="11.42578125" style="238"/>
    <col min="4370" max="4370" width="12" style="238" customWidth="1"/>
    <col min="4371" max="4371" width="6.42578125" style="238" customWidth="1"/>
    <col min="4372" max="4608" width="11.42578125" style="238"/>
    <col min="4609" max="4610" width="6.5703125" style="238" customWidth="1"/>
    <col min="4611" max="4611" width="40.85546875" style="238" customWidth="1"/>
    <col min="4612" max="4612" width="14.42578125" style="238" customWidth="1"/>
    <col min="4613" max="4615" width="12.42578125" style="238" customWidth="1"/>
    <col min="4616" max="4622" width="11.42578125" style="238"/>
    <col min="4623" max="4624" width="13.140625" style="238" customWidth="1"/>
    <col min="4625" max="4625" width="11.42578125" style="238"/>
    <col min="4626" max="4626" width="12" style="238" customWidth="1"/>
    <col min="4627" max="4627" width="6.42578125" style="238" customWidth="1"/>
    <col min="4628" max="4864" width="11.42578125" style="238"/>
    <col min="4865" max="4866" width="6.5703125" style="238" customWidth="1"/>
    <col min="4867" max="4867" width="40.85546875" style="238" customWidth="1"/>
    <col min="4868" max="4868" width="14.42578125" style="238" customWidth="1"/>
    <col min="4869" max="4871" width="12.42578125" style="238" customWidth="1"/>
    <col min="4872" max="4878" width="11.42578125" style="238"/>
    <col min="4879" max="4880" width="13.140625" style="238" customWidth="1"/>
    <col min="4881" max="4881" width="11.42578125" style="238"/>
    <col min="4882" max="4882" width="12" style="238" customWidth="1"/>
    <col min="4883" max="4883" width="6.42578125" style="238" customWidth="1"/>
    <col min="4884" max="5120" width="11.42578125" style="238"/>
    <col min="5121" max="5122" width="6.5703125" style="238" customWidth="1"/>
    <col min="5123" max="5123" width="40.85546875" style="238" customWidth="1"/>
    <col min="5124" max="5124" width="14.42578125" style="238" customWidth="1"/>
    <col min="5125" max="5127" width="12.42578125" style="238" customWidth="1"/>
    <col min="5128" max="5134" width="11.42578125" style="238"/>
    <col min="5135" max="5136" width="13.140625" style="238" customWidth="1"/>
    <col min="5137" max="5137" width="11.42578125" style="238"/>
    <col min="5138" max="5138" width="12" style="238" customWidth="1"/>
    <col min="5139" max="5139" width="6.42578125" style="238" customWidth="1"/>
    <col min="5140" max="5376" width="11.42578125" style="238"/>
    <col min="5377" max="5378" width="6.5703125" style="238" customWidth="1"/>
    <col min="5379" max="5379" width="40.85546875" style="238" customWidth="1"/>
    <col min="5380" max="5380" width="14.42578125" style="238" customWidth="1"/>
    <col min="5381" max="5383" width="12.42578125" style="238" customWidth="1"/>
    <col min="5384" max="5390" width="11.42578125" style="238"/>
    <col min="5391" max="5392" width="13.140625" style="238" customWidth="1"/>
    <col min="5393" max="5393" width="11.42578125" style="238"/>
    <col min="5394" max="5394" width="12" style="238" customWidth="1"/>
    <col min="5395" max="5395" width="6.42578125" style="238" customWidth="1"/>
    <col min="5396" max="5632" width="11.42578125" style="238"/>
    <col min="5633" max="5634" width="6.5703125" style="238" customWidth="1"/>
    <col min="5635" max="5635" width="40.85546875" style="238" customWidth="1"/>
    <col min="5636" max="5636" width="14.42578125" style="238" customWidth="1"/>
    <col min="5637" max="5639" width="12.42578125" style="238" customWidth="1"/>
    <col min="5640" max="5646" width="11.42578125" style="238"/>
    <col min="5647" max="5648" width="13.140625" style="238" customWidth="1"/>
    <col min="5649" max="5649" width="11.42578125" style="238"/>
    <col min="5650" max="5650" width="12" style="238" customWidth="1"/>
    <col min="5651" max="5651" width="6.42578125" style="238" customWidth="1"/>
    <col min="5652" max="5888" width="11.42578125" style="238"/>
    <col min="5889" max="5890" width="6.5703125" style="238" customWidth="1"/>
    <col min="5891" max="5891" width="40.85546875" style="238" customWidth="1"/>
    <col min="5892" max="5892" width="14.42578125" style="238" customWidth="1"/>
    <col min="5893" max="5895" width="12.42578125" style="238" customWidth="1"/>
    <col min="5896" max="5902" width="11.42578125" style="238"/>
    <col min="5903" max="5904" width="13.140625" style="238" customWidth="1"/>
    <col min="5905" max="5905" width="11.42578125" style="238"/>
    <col min="5906" max="5906" width="12" style="238" customWidth="1"/>
    <col min="5907" max="5907" width="6.42578125" style="238" customWidth="1"/>
    <col min="5908" max="6144" width="11.42578125" style="238"/>
    <col min="6145" max="6146" width="6.5703125" style="238" customWidth="1"/>
    <col min="6147" max="6147" width="40.85546875" style="238" customWidth="1"/>
    <col min="6148" max="6148" width="14.42578125" style="238" customWidth="1"/>
    <col min="6149" max="6151" width="12.42578125" style="238" customWidth="1"/>
    <col min="6152" max="6158" width="11.42578125" style="238"/>
    <col min="6159" max="6160" width="13.140625" style="238" customWidth="1"/>
    <col min="6161" max="6161" width="11.42578125" style="238"/>
    <col min="6162" max="6162" width="12" style="238" customWidth="1"/>
    <col min="6163" max="6163" width="6.42578125" style="238" customWidth="1"/>
    <col min="6164" max="6400" width="11.42578125" style="238"/>
    <col min="6401" max="6402" width="6.5703125" style="238" customWidth="1"/>
    <col min="6403" max="6403" width="40.85546875" style="238" customWidth="1"/>
    <col min="6404" max="6404" width="14.42578125" style="238" customWidth="1"/>
    <col min="6405" max="6407" width="12.42578125" style="238" customWidth="1"/>
    <col min="6408" max="6414" width="11.42578125" style="238"/>
    <col min="6415" max="6416" width="13.140625" style="238" customWidth="1"/>
    <col min="6417" max="6417" width="11.42578125" style="238"/>
    <col min="6418" max="6418" width="12" style="238" customWidth="1"/>
    <col min="6419" max="6419" width="6.42578125" style="238" customWidth="1"/>
    <col min="6420" max="6656" width="11.42578125" style="238"/>
    <col min="6657" max="6658" width="6.5703125" style="238" customWidth="1"/>
    <col min="6659" max="6659" width="40.85546875" style="238" customWidth="1"/>
    <col min="6660" max="6660" width="14.42578125" style="238" customWidth="1"/>
    <col min="6661" max="6663" width="12.42578125" style="238" customWidth="1"/>
    <col min="6664" max="6670" width="11.42578125" style="238"/>
    <col min="6671" max="6672" width="13.140625" style="238" customWidth="1"/>
    <col min="6673" max="6673" width="11.42578125" style="238"/>
    <col min="6674" max="6674" width="12" style="238" customWidth="1"/>
    <col min="6675" max="6675" width="6.42578125" style="238" customWidth="1"/>
    <col min="6676" max="6912" width="11.42578125" style="238"/>
    <col min="6913" max="6914" width="6.5703125" style="238" customWidth="1"/>
    <col min="6915" max="6915" width="40.85546875" style="238" customWidth="1"/>
    <col min="6916" max="6916" width="14.42578125" style="238" customWidth="1"/>
    <col min="6917" max="6919" width="12.42578125" style="238" customWidth="1"/>
    <col min="6920" max="6926" width="11.42578125" style="238"/>
    <col min="6927" max="6928" width="13.140625" style="238" customWidth="1"/>
    <col min="6929" max="6929" width="11.42578125" style="238"/>
    <col min="6930" max="6930" width="12" style="238" customWidth="1"/>
    <col min="6931" max="6931" width="6.42578125" style="238" customWidth="1"/>
    <col min="6932" max="7168" width="11.42578125" style="238"/>
    <col min="7169" max="7170" width="6.5703125" style="238" customWidth="1"/>
    <col min="7171" max="7171" width="40.85546875" style="238" customWidth="1"/>
    <col min="7172" max="7172" width="14.42578125" style="238" customWidth="1"/>
    <col min="7173" max="7175" width="12.42578125" style="238" customWidth="1"/>
    <col min="7176" max="7182" width="11.42578125" style="238"/>
    <col min="7183" max="7184" width="13.140625" style="238" customWidth="1"/>
    <col min="7185" max="7185" width="11.42578125" style="238"/>
    <col min="7186" max="7186" width="12" style="238" customWidth="1"/>
    <col min="7187" max="7187" width="6.42578125" style="238" customWidth="1"/>
    <col min="7188" max="7424" width="11.42578125" style="238"/>
    <col min="7425" max="7426" width="6.5703125" style="238" customWidth="1"/>
    <col min="7427" max="7427" width="40.85546875" style="238" customWidth="1"/>
    <col min="7428" max="7428" width="14.42578125" style="238" customWidth="1"/>
    <col min="7429" max="7431" width="12.42578125" style="238" customWidth="1"/>
    <col min="7432" max="7438" width="11.42578125" style="238"/>
    <col min="7439" max="7440" width="13.140625" style="238" customWidth="1"/>
    <col min="7441" max="7441" width="11.42578125" style="238"/>
    <col min="7442" max="7442" width="12" style="238" customWidth="1"/>
    <col min="7443" max="7443" width="6.42578125" style="238" customWidth="1"/>
    <col min="7444" max="7680" width="11.42578125" style="238"/>
    <col min="7681" max="7682" width="6.5703125" style="238" customWidth="1"/>
    <col min="7683" max="7683" width="40.85546875" style="238" customWidth="1"/>
    <col min="7684" max="7684" width="14.42578125" style="238" customWidth="1"/>
    <col min="7685" max="7687" width="12.42578125" style="238" customWidth="1"/>
    <col min="7688" max="7694" width="11.42578125" style="238"/>
    <col min="7695" max="7696" width="13.140625" style="238" customWidth="1"/>
    <col min="7697" max="7697" width="11.42578125" style="238"/>
    <col min="7698" max="7698" width="12" style="238" customWidth="1"/>
    <col min="7699" max="7699" width="6.42578125" style="238" customWidth="1"/>
    <col min="7700" max="7936" width="11.42578125" style="238"/>
    <col min="7937" max="7938" width="6.5703125" style="238" customWidth="1"/>
    <col min="7939" max="7939" width="40.85546875" style="238" customWidth="1"/>
    <col min="7940" max="7940" width="14.42578125" style="238" customWidth="1"/>
    <col min="7941" max="7943" width="12.42578125" style="238" customWidth="1"/>
    <col min="7944" max="7950" width="11.42578125" style="238"/>
    <col min="7951" max="7952" width="13.140625" style="238" customWidth="1"/>
    <col min="7953" max="7953" width="11.42578125" style="238"/>
    <col min="7954" max="7954" width="12" style="238" customWidth="1"/>
    <col min="7955" max="7955" width="6.42578125" style="238" customWidth="1"/>
    <col min="7956" max="8192" width="11.42578125" style="238"/>
    <col min="8193" max="8194" width="6.5703125" style="238" customWidth="1"/>
    <col min="8195" max="8195" width="40.85546875" style="238" customWidth="1"/>
    <col min="8196" max="8196" width="14.42578125" style="238" customWidth="1"/>
    <col min="8197" max="8199" width="12.42578125" style="238" customWidth="1"/>
    <col min="8200" max="8206" width="11.42578125" style="238"/>
    <col min="8207" max="8208" width="13.140625" style="238" customWidth="1"/>
    <col min="8209" max="8209" width="11.42578125" style="238"/>
    <col min="8210" max="8210" width="12" style="238" customWidth="1"/>
    <col min="8211" max="8211" width="6.42578125" style="238" customWidth="1"/>
    <col min="8212" max="8448" width="11.42578125" style="238"/>
    <col min="8449" max="8450" width="6.5703125" style="238" customWidth="1"/>
    <col min="8451" max="8451" width="40.85546875" style="238" customWidth="1"/>
    <col min="8452" max="8452" width="14.42578125" style="238" customWidth="1"/>
    <col min="8453" max="8455" width="12.42578125" style="238" customWidth="1"/>
    <col min="8456" max="8462" width="11.42578125" style="238"/>
    <col min="8463" max="8464" width="13.140625" style="238" customWidth="1"/>
    <col min="8465" max="8465" width="11.42578125" style="238"/>
    <col min="8466" max="8466" width="12" style="238" customWidth="1"/>
    <col min="8467" max="8467" width="6.42578125" style="238" customWidth="1"/>
    <col min="8468" max="8704" width="11.42578125" style="238"/>
    <col min="8705" max="8706" width="6.5703125" style="238" customWidth="1"/>
    <col min="8707" max="8707" width="40.85546875" style="238" customWidth="1"/>
    <col min="8708" max="8708" width="14.42578125" style="238" customWidth="1"/>
    <col min="8709" max="8711" width="12.42578125" style="238" customWidth="1"/>
    <col min="8712" max="8718" width="11.42578125" style="238"/>
    <col min="8719" max="8720" width="13.140625" style="238" customWidth="1"/>
    <col min="8721" max="8721" width="11.42578125" style="238"/>
    <col min="8722" max="8722" width="12" style="238" customWidth="1"/>
    <col min="8723" max="8723" width="6.42578125" style="238" customWidth="1"/>
    <col min="8724" max="8960" width="11.42578125" style="238"/>
    <col min="8961" max="8962" width="6.5703125" style="238" customWidth="1"/>
    <col min="8963" max="8963" width="40.85546875" style="238" customWidth="1"/>
    <col min="8964" max="8964" width="14.42578125" style="238" customWidth="1"/>
    <col min="8965" max="8967" width="12.42578125" style="238" customWidth="1"/>
    <col min="8968" max="8974" width="11.42578125" style="238"/>
    <col min="8975" max="8976" width="13.140625" style="238" customWidth="1"/>
    <col min="8977" max="8977" width="11.42578125" style="238"/>
    <col min="8978" max="8978" width="12" style="238" customWidth="1"/>
    <col min="8979" max="8979" width="6.42578125" style="238" customWidth="1"/>
    <col min="8980" max="9216" width="11.42578125" style="238"/>
    <col min="9217" max="9218" width="6.5703125" style="238" customWidth="1"/>
    <col min="9219" max="9219" width="40.85546875" style="238" customWidth="1"/>
    <col min="9220" max="9220" width="14.42578125" style="238" customWidth="1"/>
    <col min="9221" max="9223" width="12.42578125" style="238" customWidth="1"/>
    <col min="9224" max="9230" width="11.42578125" style="238"/>
    <col min="9231" max="9232" width="13.140625" style="238" customWidth="1"/>
    <col min="9233" max="9233" width="11.42578125" style="238"/>
    <col min="9234" max="9234" width="12" style="238" customWidth="1"/>
    <col min="9235" max="9235" width="6.42578125" style="238" customWidth="1"/>
    <col min="9236" max="9472" width="11.42578125" style="238"/>
    <col min="9473" max="9474" width="6.5703125" style="238" customWidth="1"/>
    <col min="9475" max="9475" width="40.85546875" style="238" customWidth="1"/>
    <col min="9476" max="9476" width="14.42578125" style="238" customWidth="1"/>
    <col min="9477" max="9479" width="12.42578125" style="238" customWidth="1"/>
    <col min="9480" max="9486" width="11.42578125" style="238"/>
    <col min="9487" max="9488" width="13.140625" style="238" customWidth="1"/>
    <col min="9489" max="9489" width="11.42578125" style="238"/>
    <col min="9490" max="9490" width="12" style="238" customWidth="1"/>
    <col min="9491" max="9491" width="6.42578125" style="238" customWidth="1"/>
    <col min="9492" max="9728" width="11.42578125" style="238"/>
    <col min="9729" max="9730" width="6.5703125" style="238" customWidth="1"/>
    <col min="9731" max="9731" width="40.85546875" style="238" customWidth="1"/>
    <col min="9732" max="9732" width="14.42578125" style="238" customWidth="1"/>
    <col min="9733" max="9735" width="12.42578125" style="238" customWidth="1"/>
    <col min="9736" max="9742" width="11.42578125" style="238"/>
    <col min="9743" max="9744" width="13.140625" style="238" customWidth="1"/>
    <col min="9745" max="9745" width="11.42578125" style="238"/>
    <col min="9746" max="9746" width="12" style="238" customWidth="1"/>
    <col min="9747" max="9747" width="6.42578125" style="238" customWidth="1"/>
    <col min="9748" max="9984" width="11.42578125" style="238"/>
    <col min="9985" max="9986" width="6.5703125" style="238" customWidth="1"/>
    <col min="9987" max="9987" width="40.85546875" style="238" customWidth="1"/>
    <col min="9988" max="9988" width="14.42578125" style="238" customWidth="1"/>
    <col min="9989" max="9991" width="12.42578125" style="238" customWidth="1"/>
    <col min="9992" max="9998" width="11.42578125" style="238"/>
    <col min="9999" max="10000" width="13.140625" style="238" customWidth="1"/>
    <col min="10001" max="10001" width="11.42578125" style="238"/>
    <col min="10002" max="10002" width="12" style="238" customWidth="1"/>
    <col min="10003" max="10003" width="6.42578125" style="238" customWidth="1"/>
    <col min="10004" max="10240" width="11.42578125" style="238"/>
    <col min="10241" max="10242" width="6.5703125" style="238" customWidth="1"/>
    <col min="10243" max="10243" width="40.85546875" style="238" customWidth="1"/>
    <col min="10244" max="10244" width="14.42578125" style="238" customWidth="1"/>
    <col min="10245" max="10247" width="12.42578125" style="238" customWidth="1"/>
    <col min="10248" max="10254" width="11.42578125" style="238"/>
    <col min="10255" max="10256" width="13.140625" style="238" customWidth="1"/>
    <col min="10257" max="10257" width="11.42578125" style="238"/>
    <col min="10258" max="10258" width="12" style="238" customWidth="1"/>
    <col min="10259" max="10259" width="6.42578125" style="238" customWidth="1"/>
    <col min="10260" max="10496" width="11.42578125" style="238"/>
    <col min="10497" max="10498" width="6.5703125" style="238" customWidth="1"/>
    <col min="10499" max="10499" width="40.85546875" style="238" customWidth="1"/>
    <col min="10500" max="10500" width="14.42578125" style="238" customWidth="1"/>
    <col min="10501" max="10503" width="12.42578125" style="238" customWidth="1"/>
    <col min="10504" max="10510" width="11.42578125" style="238"/>
    <col min="10511" max="10512" width="13.140625" style="238" customWidth="1"/>
    <col min="10513" max="10513" width="11.42578125" style="238"/>
    <col min="10514" max="10514" width="12" style="238" customWidth="1"/>
    <col min="10515" max="10515" width="6.42578125" style="238" customWidth="1"/>
    <col min="10516" max="10752" width="11.42578125" style="238"/>
    <col min="10753" max="10754" width="6.5703125" style="238" customWidth="1"/>
    <col min="10755" max="10755" width="40.85546875" style="238" customWidth="1"/>
    <col min="10756" max="10756" width="14.42578125" style="238" customWidth="1"/>
    <col min="10757" max="10759" width="12.42578125" style="238" customWidth="1"/>
    <col min="10760" max="10766" width="11.42578125" style="238"/>
    <col min="10767" max="10768" width="13.140625" style="238" customWidth="1"/>
    <col min="10769" max="10769" width="11.42578125" style="238"/>
    <col min="10770" max="10770" width="12" style="238" customWidth="1"/>
    <col min="10771" max="10771" width="6.42578125" style="238" customWidth="1"/>
    <col min="10772" max="11008" width="11.42578125" style="238"/>
    <col min="11009" max="11010" width="6.5703125" style="238" customWidth="1"/>
    <col min="11011" max="11011" width="40.85546875" style="238" customWidth="1"/>
    <col min="11012" max="11012" width="14.42578125" style="238" customWidth="1"/>
    <col min="11013" max="11015" width="12.42578125" style="238" customWidth="1"/>
    <col min="11016" max="11022" width="11.42578125" style="238"/>
    <col min="11023" max="11024" width="13.140625" style="238" customWidth="1"/>
    <col min="11025" max="11025" width="11.42578125" style="238"/>
    <col min="11026" max="11026" width="12" style="238" customWidth="1"/>
    <col min="11027" max="11027" width="6.42578125" style="238" customWidth="1"/>
    <col min="11028" max="11264" width="11.42578125" style="238"/>
    <col min="11265" max="11266" width="6.5703125" style="238" customWidth="1"/>
    <col min="11267" max="11267" width="40.85546875" style="238" customWidth="1"/>
    <col min="11268" max="11268" width="14.42578125" style="238" customWidth="1"/>
    <col min="11269" max="11271" width="12.42578125" style="238" customWidth="1"/>
    <col min="11272" max="11278" width="11.42578125" style="238"/>
    <col min="11279" max="11280" width="13.140625" style="238" customWidth="1"/>
    <col min="11281" max="11281" width="11.42578125" style="238"/>
    <col min="11282" max="11282" width="12" style="238" customWidth="1"/>
    <col min="11283" max="11283" width="6.42578125" style="238" customWidth="1"/>
    <col min="11284" max="11520" width="11.42578125" style="238"/>
    <col min="11521" max="11522" width="6.5703125" style="238" customWidth="1"/>
    <col min="11523" max="11523" width="40.85546875" style="238" customWidth="1"/>
    <col min="11524" max="11524" width="14.42578125" style="238" customWidth="1"/>
    <col min="11525" max="11527" width="12.42578125" style="238" customWidth="1"/>
    <col min="11528" max="11534" width="11.42578125" style="238"/>
    <col min="11535" max="11536" width="13.140625" style="238" customWidth="1"/>
    <col min="11537" max="11537" width="11.42578125" style="238"/>
    <col min="11538" max="11538" width="12" style="238" customWidth="1"/>
    <col min="11539" max="11539" width="6.42578125" style="238" customWidth="1"/>
    <col min="11540" max="11776" width="11.42578125" style="238"/>
    <col min="11777" max="11778" width="6.5703125" style="238" customWidth="1"/>
    <col min="11779" max="11779" width="40.85546875" style="238" customWidth="1"/>
    <col min="11780" max="11780" width="14.42578125" style="238" customWidth="1"/>
    <col min="11781" max="11783" width="12.42578125" style="238" customWidth="1"/>
    <col min="11784" max="11790" width="11.42578125" style="238"/>
    <col min="11791" max="11792" width="13.140625" style="238" customWidth="1"/>
    <col min="11793" max="11793" width="11.42578125" style="238"/>
    <col min="11794" max="11794" width="12" style="238" customWidth="1"/>
    <col min="11795" max="11795" width="6.42578125" style="238" customWidth="1"/>
    <col min="11796" max="12032" width="11.42578125" style="238"/>
    <col min="12033" max="12034" width="6.5703125" style="238" customWidth="1"/>
    <col min="12035" max="12035" width="40.85546875" style="238" customWidth="1"/>
    <col min="12036" max="12036" width="14.42578125" style="238" customWidth="1"/>
    <col min="12037" max="12039" width="12.42578125" style="238" customWidth="1"/>
    <col min="12040" max="12046" width="11.42578125" style="238"/>
    <col min="12047" max="12048" width="13.140625" style="238" customWidth="1"/>
    <col min="12049" max="12049" width="11.42578125" style="238"/>
    <col min="12050" max="12050" width="12" style="238" customWidth="1"/>
    <col min="12051" max="12051" width="6.42578125" style="238" customWidth="1"/>
    <col min="12052" max="12288" width="11.42578125" style="238"/>
    <col min="12289" max="12290" width="6.5703125" style="238" customWidth="1"/>
    <col min="12291" max="12291" width="40.85546875" style="238" customWidth="1"/>
    <col min="12292" max="12292" width="14.42578125" style="238" customWidth="1"/>
    <col min="12293" max="12295" width="12.42578125" style="238" customWidth="1"/>
    <col min="12296" max="12302" width="11.42578125" style="238"/>
    <col min="12303" max="12304" width="13.140625" style="238" customWidth="1"/>
    <col min="12305" max="12305" width="11.42578125" style="238"/>
    <col min="12306" max="12306" width="12" style="238" customWidth="1"/>
    <col min="12307" max="12307" width="6.42578125" style="238" customWidth="1"/>
    <col min="12308" max="12544" width="11.42578125" style="238"/>
    <col min="12545" max="12546" width="6.5703125" style="238" customWidth="1"/>
    <col min="12547" max="12547" width="40.85546875" style="238" customWidth="1"/>
    <col min="12548" max="12548" width="14.42578125" style="238" customWidth="1"/>
    <col min="12549" max="12551" width="12.42578125" style="238" customWidth="1"/>
    <col min="12552" max="12558" width="11.42578125" style="238"/>
    <col min="12559" max="12560" width="13.140625" style="238" customWidth="1"/>
    <col min="12561" max="12561" width="11.42578125" style="238"/>
    <col min="12562" max="12562" width="12" style="238" customWidth="1"/>
    <col min="12563" max="12563" width="6.42578125" style="238" customWidth="1"/>
    <col min="12564" max="12800" width="11.42578125" style="238"/>
    <col min="12801" max="12802" width="6.5703125" style="238" customWidth="1"/>
    <col min="12803" max="12803" width="40.85546875" style="238" customWidth="1"/>
    <col min="12804" max="12804" width="14.42578125" style="238" customWidth="1"/>
    <col min="12805" max="12807" width="12.42578125" style="238" customWidth="1"/>
    <col min="12808" max="12814" width="11.42578125" style="238"/>
    <col min="12815" max="12816" width="13.140625" style="238" customWidth="1"/>
    <col min="12817" max="12817" width="11.42578125" style="238"/>
    <col min="12818" max="12818" width="12" style="238" customWidth="1"/>
    <col min="12819" max="12819" width="6.42578125" style="238" customWidth="1"/>
    <col min="12820" max="13056" width="11.42578125" style="238"/>
    <col min="13057" max="13058" width="6.5703125" style="238" customWidth="1"/>
    <col min="13059" max="13059" width="40.85546875" style="238" customWidth="1"/>
    <col min="13060" max="13060" width="14.42578125" style="238" customWidth="1"/>
    <col min="13061" max="13063" width="12.42578125" style="238" customWidth="1"/>
    <col min="13064" max="13070" width="11.42578125" style="238"/>
    <col min="13071" max="13072" width="13.140625" style="238" customWidth="1"/>
    <col min="13073" max="13073" width="11.42578125" style="238"/>
    <col min="13074" max="13074" width="12" style="238" customWidth="1"/>
    <col min="13075" max="13075" width="6.42578125" style="238" customWidth="1"/>
    <col min="13076" max="13312" width="11.42578125" style="238"/>
    <col min="13313" max="13314" width="6.5703125" style="238" customWidth="1"/>
    <col min="13315" max="13315" width="40.85546875" style="238" customWidth="1"/>
    <col min="13316" max="13316" width="14.42578125" style="238" customWidth="1"/>
    <col min="13317" max="13319" width="12.42578125" style="238" customWidth="1"/>
    <col min="13320" max="13326" width="11.42578125" style="238"/>
    <col min="13327" max="13328" width="13.140625" style="238" customWidth="1"/>
    <col min="13329" max="13329" width="11.42578125" style="238"/>
    <col min="13330" max="13330" width="12" style="238" customWidth="1"/>
    <col min="13331" max="13331" width="6.42578125" style="238" customWidth="1"/>
    <col min="13332" max="13568" width="11.42578125" style="238"/>
    <col min="13569" max="13570" width="6.5703125" style="238" customWidth="1"/>
    <col min="13571" max="13571" width="40.85546875" style="238" customWidth="1"/>
    <col min="13572" max="13572" width="14.42578125" style="238" customWidth="1"/>
    <col min="13573" max="13575" width="12.42578125" style="238" customWidth="1"/>
    <col min="13576" max="13582" width="11.42578125" style="238"/>
    <col min="13583" max="13584" width="13.140625" style="238" customWidth="1"/>
    <col min="13585" max="13585" width="11.42578125" style="238"/>
    <col min="13586" max="13586" width="12" style="238" customWidth="1"/>
    <col min="13587" max="13587" width="6.42578125" style="238" customWidth="1"/>
    <col min="13588" max="13824" width="11.42578125" style="238"/>
    <col min="13825" max="13826" width="6.5703125" style="238" customWidth="1"/>
    <col min="13827" max="13827" width="40.85546875" style="238" customWidth="1"/>
    <col min="13828" max="13828" width="14.42578125" style="238" customWidth="1"/>
    <col min="13829" max="13831" width="12.42578125" style="238" customWidth="1"/>
    <col min="13832" max="13838" width="11.42578125" style="238"/>
    <col min="13839" max="13840" width="13.140625" style="238" customWidth="1"/>
    <col min="13841" max="13841" width="11.42578125" style="238"/>
    <col min="13842" max="13842" width="12" style="238" customWidth="1"/>
    <col min="13843" max="13843" width="6.42578125" style="238" customWidth="1"/>
    <col min="13844" max="14080" width="11.42578125" style="238"/>
    <col min="14081" max="14082" width="6.5703125" style="238" customWidth="1"/>
    <col min="14083" max="14083" width="40.85546875" style="238" customWidth="1"/>
    <col min="14084" max="14084" width="14.42578125" style="238" customWidth="1"/>
    <col min="14085" max="14087" width="12.42578125" style="238" customWidth="1"/>
    <col min="14088" max="14094" width="11.42578125" style="238"/>
    <col min="14095" max="14096" width="13.140625" style="238" customWidth="1"/>
    <col min="14097" max="14097" width="11.42578125" style="238"/>
    <col min="14098" max="14098" width="12" style="238" customWidth="1"/>
    <col min="14099" max="14099" width="6.42578125" style="238" customWidth="1"/>
    <col min="14100" max="14336" width="11.42578125" style="238"/>
    <col min="14337" max="14338" width="6.5703125" style="238" customWidth="1"/>
    <col min="14339" max="14339" width="40.85546875" style="238" customWidth="1"/>
    <col min="14340" max="14340" width="14.42578125" style="238" customWidth="1"/>
    <col min="14341" max="14343" width="12.42578125" style="238" customWidth="1"/>
    <col min="14344" max="14350" width="11.42578125" style="238"/>
    <col min="14351" max="14352" width="13.140625" style="238" customWidth="1"/>
    <col min="14353" max="14353" width="11.42578125" style="238"/>
    <col min="14354" max="14354" width="12" style="238" customWidth="1"/>
    <col min="14355" max="14355" width="6.42578125" style="238" customWidth="1"/>
    <col min="14356" max="14592" width="11.42578125" style="238"/>
    <col min="14593" max="14594" width="6.5703125" style="238" customWidth="1"/>
    <col min="14595" max="14595" width="40.85546875" style="238" customWidth="1"/>
    <col min="14596" max="14596" width="14.42578125" style="238" customWidth="1"/>
    <col min="14597" max="14599" width="12.42578125" style="238" customWidth="1"/>
    <col min="14600" max="14606" width="11.42578125" style="238"/>
    <col min="14607" max="14608" width="13.140625" style="238" customWidth="1"/>
    <col min="14609" max="14609" width="11.42578125" style="238"/>
    <col min="14610" max="14610" width="12" style="238" customWidth="1"/>
    <col min="14611" max="14611" width="6.42578125" style="238" customWidth="1"/>
    <col min="14612" max="14848" width="11.42578125" style="238"/>
    <col min="14849" max="14850" width="6.5703125" style="238" customWidth="1"/>
    <col min="14851" max="14851" width="40.85546875" style="238" customWidth="1"/>
    <col min="14852" max="14852" width="14.42578125" style="238" customWidth="1"/>
    <col min="14853" max="14855" width="12.42578125" style="238" customWidth="1"/>
    <col min="14856" max="14862" width="11.42578125" style="238"/>
    <col min="14863" max="14864" width="13.140625" style="238" customWidth="1"/>
    <col min="14865" max="14865" width="11.42578125" style="238"/>
    <col min="14866" max="14866" width="12" style="238" customWidth="1"/>
    <col min="14867" max="14867" width="6.42578125" style="238" customWidth="1"/>
    <col min="14868" max="15104" width="11.42578125" style="238"/>
    <col min="15105" max="15106" width="6.5703125" style="238" customWidth="1"/>
    <col min="15107" max="15107" width="40.85546875" style="238" customWidth="1"/>
    <col min="15108" max="15108" width="14.42578125" style="238" customWidth="1"/>
    <col min="15109" max="15111" width="12.42578125" style="238" customWidth="1"/>
    <col min="15112" max="15118" width="11.42578125" style="238"/>
    <col min="15119" max="15120" width="13.140625" style="238" customWidth="1"/>
    <col min="15121" max="15121" width="11.42578125" style="238"/>
    <col min="15122" max="15122" width="12" style="238" customWidth="1"/>
    <col min="15123" max="15123" width="6.42578125" style="238" customWidth="1"/>
    <col min="15124" max="15360" width="11.42578125" style="238"/>
    <col min="15361" max="15362" width="6.5703125" style="238" customWidth="1"/>
    <col min="15363" max="15363" width="40.85546875" style="238" customWidth="1"/>
    <col min="15364" max="15364" width="14.42578125" style="238" customWidth="1"/>
    <col min="15365" max="15367" width="12.42578125" style="238" customWidth="1"/>
    <col min="15368" max="15374" width="11.42578125" style="238"/>
    <col min="15375" max="15376" width="13.140625" style="238" customWidth="1"/>
    <col min="15377" max="15377" width="11.42578125" style="238"/>
    <col min="15378" max="15378" width="12" style="238" customWidth="1"/>
    <col min="15379" max="15379" width="6.42578125" style="238" customWidth="1"/>
    <col min="15380" max="15616" width="11.42578125" style="238"/>
    <col min="15617" max="15618" width="6.5703125" style="238" customWidth="1"/>
    <col min="15619" max="15619" width="40.85546875" style="238" customWidth="1"/>
    <col min="15620" max="15620" width="14.42578125" style="238" customWidth="1"/>
    <col min="15621" max="15623" width="12.42578125" style="238" customWidth="1"/>
    <col min="15624" max="15630" width="11.42578125" style="238"/>
    <col min="15631" max="15632" width="13.140625" style="238" customWidth="1"/>
    <col min="15633" max="15633" width="11.42578125" style="238"/>
    <col min="15634" max="15634" width="12" style="238" customWidth="1"/>
    <col min="15635" max="15635" width="6.42578125" style="238" customWidth="1"/>
    <col min="15636" max="15872" width="11.42578125" style="238"/>
    <col min="15873" max="15874" width="6.5703125" style="238" customWidth="1"/>
    <col min="15875" max="15875" width="40.85546875" style="238" customWidth="1"/>
    <col min="15876" max="15876" width="14.42578125" style="238" customWidth="1"/>
    <col min="15877" max="15879" width="12.42578125" style="238" customWidth="1"/>
    <col min="15880" max="15886" width="11.42578125" style="238"/>
    <col min="15887" max="15888" width="13.140625" style="238" customWidth="1"/>
    <col min="15889" max="15889" width="11.42578125" style="238"/>
    <col min="15890" max="15890" width="12" style="238" customWidth="1"/>
    <col min="15891" max="15891" width="6.42578125" style="238" customWidth="1"/>
    <col min="15892" max="16128" width="11.42578125" style="238"/>
    <col min="16129" max="16130" width="6.5703125" style="238" customWidth="1"/>
    <col min="16131" max="16131" width="40.85546875" style="238" customWidth="1"/>
    <col min="16132" max="16132" width="14.42578125" style="238" customWidth="1"/>
    <col min="16133" max="16135" width="12.42578125" style="238" customWidth="1"/>
    <col min="16136" max="16142" width="11.42578125" style="238"/>
    <col min="16143" max="16144" width="13.140625" style="238" customWidth="1"/>
    <col min="16145" max="16145" width="11.42578125" style="238"/>
    <col min="16146" max="16146" width="12" style="238" customWidth="1"/>
    <col min="16147" max="16147" width="6.42578125" style="238" customWidth="1"/>
    <col min="16148" max="16384" width="11.42578125" style="238"/>
  </cols>
  <sheetData>
    <row r="2" spans="2:19" ht="18">
      <c r="B2" s="638"/>
      <c r="C2" s="1260" t="s">
        <v>617</v>
      </c>
      <c r="D2" s="1260"/>
      <c r="E2" s="1260"/>
      <c r="F2" s="1260"/>
      <c r="G2" s="1260"/>
      <c r="H2" s="1260"/>
      <c r="I2" s="1260"/>
      <c r="J2" s="1260"/>
      <c r="K2" s="1260"/>
      <c r="L2" s="1260"/>
      <c r="M2" s="1260"/>
      <c r="N2" s="1260"/>
      <c r="O2" s="1260"/>
      <c r="P2" s="1260"/>
      <c r="Q2" s="1260"/>
      <c r="R2" s="1260"/>
      <c r="S2" s="638"/>
    </row>
    <row r="3" spans="2:19" ht="18">
      <c r="B3" s="638"/>
      <c r="C3" s="1260" t="s">
        <v>618</v>
      </c>
      <c r="D3" s="1260"/>
      <c r="E3" s="1260"/>
      <c r="F3" s="1260"/>
      <c r="G3" s="1260"/>
      <c r="H3" s="1260"/>
      <c r="I3" s="1260"/>
      <c r="J3" s="1260"/>
      <c r="K3" s="1260"/>
      <c r="L3" s="1260"/>
      <c r="M3" s="1260"/>
      <c r="N3" s="1260"/>
      <c r="O3" s="1260"/>
      <c r="P3" s="1260"/>
      <c r="Q3" s="1260"/>
      <c r="R3" s="1260"/>
      <c r="S3" s="638"/>
    </row>
    <row r="4" spans="2:19">
      <c r="B4" s="638"/>
      <c r="C4" s="1261" t="s">
        <v>255</v>
      </c>
      <c r="D4" s="1261"/>
      <c r="E4" s="1261"/>
      <c r="F4" s="1261"/>
      <c r="G4" s="1261"/>
      <c r="H4" s="1261"/>
      <c r="I4" s="1261"/>
      <c r="J4" s="1261"/>
      <c r="K4" s="1261"/>
      <c r="L4" s="1261"/>
      <c r="M4" s="1261"/>
      <c r="N4" s="1261"/>
      <c r="O4" s="1261"/>
      <c r="P4" s="1261"/>
      <c r="Q4" s="1261"/>
      <c r="R4" s="1261"/>
      <c r="S4" s="638"/>
    </row>
    <row r="5" spans="2:19" ht="27.75" customHeight="1">
      <c r="B5" s="638"/>
      <c r="C5" s="985"/>
      <c r="D5" s="985"/>
      <c r="E5" s="985"/>
      <c r="F5" s="985"/>
      <c r="G5" s="985"/>
      <c r="H5" s="985"/>
      <c r="I5" s="985"/>
      <c r="J5" s="985"/>
      <c r="K5" s="985"/>
      <c r="L5" s="985"/>
      <c r="M5" s="985"/>
      <c r="N5" s="985"/>
      <c r="O5" s="985"/>
      <c r="P5" s="985"/>
      <c r="Q5" s="638"/>
      <c r="R5" s="638"/>
      <c r="S5" s="638"/>
    </row>
    <row r="6" spans="2:19" ht="4.5" customHeight="1" thickBot="1">
      <c r="B6" s="638"/>
      <c r="C6" s="985"/>
      <c r="D6" s="985"/>
      <c r="E6" s="985"/>
      <c r="F6" s="985"/>
      <c r="G6" s="985"/>
      <c r="H6" s="985"/>
      <c r="I6" s="985"/>
      <c r="J6" s="985"/>
      <c r="K6" s="985"/>
      <c r="L6" s="985"/>
      <c r="M6" s="985"/>
      <c r="N6" s="985"/>
      <c r="O6" s="985"/>
      <c r="P6" s="985"/>
      <c r="Q6" s="638"/>
      <c r="R6" s="638"/>
      <c r="S6" s="638"/>
    </row>
    <row r="7" spans="2:19" ht="3" hidden="1" customHeight="1">
      <c r="B7" s="638"/>
      <c r="C7" s="984"/>
      <c r="D7" s="639"/>
      <c r="E7" s="984"/>
      <c r="F7" s="984"/>
      <c r="G7" s="984"/>
      <c r="H7" s="638"/>
      <c r="I7" s="638"/>
      <c r="J7" s="638"/>
      <c r="K7" s="638"/>
      <c r="L7" s="638"/>
      <c r="M7" s="638"/>
      <c r="N7" s="638"/>
      <c r="O7" s="638"/>
      <c r="P7" s="638"/>
      <c r="Q7" s="638"/>
      <c r="R7" s="638"/>
      <c r="S7" s="638"/>
    </row>
    <row r="8" spans="2:19" ht="16.5" customHeight="1" thickBot="1">
      <c r="B8" s="638"/>
      <c r="C8" s="1262" t="s">
        <v>256</v>
      </c>
      <c r="D8" s="1263"/>
      <c r="E8" s="1268" t="s">
        <v>415</v>
      </c>
      <c r="F8" s="1269"/>
      <c r="G8" s="1269"/>
      <c r="H8" s="1269"/>
      <c r="I8" s="1270"/>
      <c r="J8" s="1274" t="s">
        <v>619</v>
      </c>
      <c r="K8" s="1275"/>
      <c r="L8" s="1275"/>
      <c r="M8" s="1275"/>
      <c r="N8" s="1275"/>
      <c r="O8" s="1275"/>
      <c r="P8" s="1275"/>
      <c r="Q8" s="1275"/>
      <c r="R8" s="1276"/>
      <c r="S8" s="638"/>
    </row>
    <row r="9" spans="2:19" ht="16.5" customHeight="1" thickBot="1">
      <c r="B9" s="638"/>
      <c r="C9" s="1264"/>
      <c r="D9" s="1265"/>
      <c r="E9" s="1271"/>
      <c r="F9" s="1272"/>
      <c r="G9" s="1272"/>
      <c r="H9" s="1272"/>
      <c r="I9" s="1273"/>
      <c r="J9" s="1277" t="s">
        <v>416</v>
      </c>
      <c r="K9" s="1278"/>
      <c r="L9" s="1279"/>
      <c r="M9" s="1277" t="s">
        <v>417</v>
      </c>
      <c r="N9" s="1278"/>
      <c r="O9" s="1279"/>
      <c r="P9" s="1277" t="s">
        <v>620</v>
      </c>
      <c r="Q9" s="1278"/>
      <c r="R9" s="1279"/>
      <c r="S9" s="638"/>
    </row>
    <row r="10" spans="2:19" ht="3.6" customHeight="1" thickBot="1">
      <c r="B10" s="638"/>
      <c r="C10" s="1264"/>
      <c r="D10" s="1265"/>
      <c r="E10" s="640"/>
      <c r="F10" s="641"/>
      <c r="G10" s="642"/>
      <c r="H10" s="643"/>
      <c r="I10" s="641"/>
      <c r="J10" s="640"/>
      <c r="K10" s="641"/>
      <c r="L10" s="641"/>
      <c r="M10" s="641"/>
      <c r="N10" s="641"/>
      <c r="O10" s="641"/>
      <c r="P10" s="641"/>
      <c r="Q10" s="641"/>
      <c r="R10" s="643"/>
      <c r="S10" s="638"/>
    </row>
    <row r="11" spans="2:19" ht="13.15" customHeight="1">
      <c r="B11" s="638"/>
      <c r="C11" s="1264"/>
      <c r="D11" s="1265"/>
      <c r="E11" s="1258" t="s">
        <v>621</v>
      </c>
      <c r="F11" s="1242" t="s">
        <v>418</v>
      </c>
      <c r="G11" s="1246" t="s">
        <v>622</v>
      </c>
      <c r="H11" s="1280" t="s">
        <v>623</v>
      </c>
      <c r="I11" s="1254" t="s">
        <v>624</v>
      </c>
      <c r="J11" s="1256" t="s">
        <v>419</v>
      </c>
      <c r="K11" s="1258" t="s">
        <v>625</v>
      </c>
      <c r="L11" s="1246" t="s">
        <v>626</v>
      </c>
      <c r="M11" s="1280" t="s">
        <v>420</v>
      </c>
      <c r="N11" s="1258" t="s">
        <v>627</v>
      </c>
      <c r="O11" s="1246" t="s">
        <v>626</v>
      </c>
      <c r="P11" s="1280" t="s">
        <v>420</v>
      </c>
      <c r="Q11" s="1258" t="s">
        <v>628</v>
      </c>
      <c r="R11" s="1246" t="s">
        <v>626</v>
      </c>
      <c r="S11" s="638"/>
    </row>
    <row r="12" spans="2:19" ht="48" customHeight="1" thickBot="1">
      <c r="B12" s="638"/>
      <c r="C12" s="1266"/>
      <c r="D12" s="1267"/>
      <c r="E12" s="1259"/>
      <c r="F12" s="1243"/>
      <c r="G12" s="1247"/>
      <c r="H12" s="1281"/>
      <c r="I12" s="1255"/>
      <c r="J12" s="1257"/>
      <c r="K12" s="1259"/>
      <c r="L12" s="1247"/>
      <c r="M12" s="1281"/>
      <c r="N12" s="1259"/>
      <c r="O12" s="1247"/>
      <c r="P12" s="1281"/>
      <c r="Q12" s="1259"/>
      <c r="R12" s="1247"/>
      <c r="S12" s="638"/>
    </row>
    <row r="13" spans="2:19">
      <c r="B13" s="638"/>
      <c r="C13" s="1248" t="s">
        <v>75</v>
      </c>
      <c r="D13" s="1249"/>
      <c r="E13" s="644">
        <f>'[4]2001-2011 Contraloría Historico'!N13</f>
        <v>708.40780000000007</v>
      </c>
      <c r="F13" s="645">
        <f>E13/$E$42</f>
        <v>3.0440356201276848E-2</v>
      </c>
      <c r="G13" s="646">
        <f>'[4]PIB Estruc. Est. II Trim 2012'!L14</f>
        <v>706.39211544954992</v>
      </c>
      <c r="H13" s="647">
        <f>'[4]PIB Estructural II TRIM 2005-12'!AR13</f>
        <v>3.2565065151377137E-2</v>
      </c>
      <c r="I13" s="648">
        <f>(G13/E13)-1</f>
        <v>-2.845373174109822E-3</v>
      </c>
      <c r="J13" s="616">
        <f>'[4]PIB 2012, tres metodologías (M)'!AL10</f>
        <v>6.8018651223685112E-2</v>
      </c>
      <c r="K13" s="649">
        <f>G13*(1+J13)</f>
        <v>754.43995437747401</v>
      </c>
      <c r="L13" s="650">
        <f>K13/$K$42</f>
        <v>2.6451504068313828E-2</v>
      </c>
      <c r="M13" s="613">
        <f>'[4]PIB 2012, tres metodologías (M)'!AM10</f>
        <v>1.875193960222183E-2</v>
      </c>
      <c r="N13" s="649">
        <f>G13*(1+M13)</f>
        <v>719.63833773394549</v>
      </c>
      <c r="O13" s="650">
        <f t="shared" ref="O13:O42" si="0">N13/$N$42</f>
        <v>2.5947264386065566E-2</v>
      </c>
      <c r="P13" s="613">
        <f>'[4]PIB 2012, tres metodologías (M)'!AJ10</f>
        <v>-0.10145934676858925</v>
      </c>
      <c r="Q13" s="649">
        <f>G13*(1+P13)</f>
        <v>634.7220328535567</v>
      </c>
      <c r="R13" s="648">
        <f>Q13/$Q$42</f>
        <v>2.3746710365279377E-2</v>
      </c>
      <c r="S13" s="638"/>
    </row>
    <row r="14" spans="2:19">
      <c r="B14" s="638"/>
      <c r="C14" s="1221" t="s">
        <v>76</v>
      </c>
      <c r="D14" s="1222"/>
      <c r="E14" s="651">
        <f>'[4]2001-2011 Contraloría Historico'!N14</f>
        <v>181.5</v>
      </c>
      <c r="F14" s="1053">
        <f t="shared" ref="F14:F27" si="1">E14/$E$42</f>
        <v>7.7990737122484357E-3</v>
      </c>
      <c r="G14" s="646">
        <f>'[4]PIB Estruc. Est. II Trim 2012'!L15</f>
        <v>136.55252046310378</v>
      </c>
      <c r="H14" s="652">
        <f>'[4]PIB Estructural II TRIM 2005-12'!AR14</f>
        <v>-0.22393993073262364</v>
      </c>
      <c r="I14" s="623">
        <f>(G14/E14)-1</f>
        <v>-0.24764451535480014</v>
      </c>
      <c r="J14" s="622">
        <f>'[4]PIB 2012, tres metodologías (M)'!AL11</f>
        <v>-0.21884043435609124</v>
      </c>
      <c r="K14" s="653">
        <f>G14*(1+J14)</f>
        <v>106.66930757253911</v>
      </c>
      <c r="L14" s="629">
        <f>K14/$K$42</f>
        <v>3.7399445865078157E-3</v>
      </c>
      <c r="M14" s="618">
        <f>'[4]PIB 2012, tres metodologías (M)'!AM11</f>
        <v>-3.5687285431029496E-2</v>
      </c>
      <c r="N14" s="653">
        <f>G14*(1+M14)</f>
        <v>131.6793316890105</v>
      </c>
      <c r="O14" s="629">
        <f t="shared" si="0"/>
        <v>4.7478271436649858E-3</v>
      </c>
      <c r="P14" s="622">
        <f>'[4]PIB 2012, tres metodologías (M)'!AJ11</f>
        <v>-3.687530325084909E-2</v>
      </c>
      <c r="Q14" s="653">
        <f>G14*(1+P14)</f>
        <v>131.51710486135906</v>
      </c>
      <c r="R14" s="1086">
        <f>Q14/$Q$42</f>
        <v>4.9204193892278709E-3</v>
      </c>
      <c r="S14" s="638"/>
    </row>
    <row r="15" spans="2:19">
      <c r="B15" s="638"/>
      <c r="C15" s="1221" t="s">
        <v>77</v>
      </c>
      <c r="D15" s="1222"/>
      <c r="E15" s="651">
        <f>'[4]2001-2011 Contraloría Historico'!N15</f>
        <v>353.51089999999999</v>
      </c>
      <c r="F15" s="1053">
        <f t="shared" si="1"/>
        <v>1.5190399819191656E-2</v>
      </c>
      <c r="G15" s="646">
        <f>'[4]PIB Estruc. Est. II Trim 2012'!L16</f>
        <v>459.87243791883503</v>
      </c>
      <c r="H15" s="652">
        <f>'[4]PIB Estructural II TRIM 2005-12'!AR15</f>
        <v>0.28054424794853228</v>
      </c>
      <c r="I15" s="623">
        <f>(G15/E15)-1</f>
        <v>0.30087201814381115</v>
      </c>
      <c r="J15" s="622">
        <f>'[4]PIB 2012, tres metodologías (M)'!AL12</f>
        <v>0.21592639039561279</v>
      </c>
      <c r="K15" s="653">
        <f>G15*(1+J15)</f>
        <v>559.17103348107958</v>
      </c>
      <c r="L15" s="629">
        <f t="shared" ref="L15:L42" si="2">K15/$K$42</f>
        <v>1.9605158477075547E-2</v>
      </c>
      <c r="M15" s="618">
        <f>'[4]PIB 2012, tres metodologías (M)'!AM12</f>
        <v>0.16677764970086309</v>
      </c>
      <c r="N15" s="653">
        <f>G15*(1+M15)</f>
        <v>536.56888227714444</v>
      </c>
      <c r="O15" s="629">
        <f t="shared" si="0"/>
        <v>1.9346516048076339E-2</v>
      </c>
      <c r="P15" s="618">
        <f>'[4]PIB 2012, tres metodologías (M)'!AJ12</f>
        <v>4.5559845559845602E-2</v>
      </c>
      <c r="Q15" s="653">
        <f>G15*(1+P15)</f>
        <v>480.82415516764684</v>
      </c>
      <c r="R15" s="629">
        <f>Q15/$Q$42</f>
        <v>1.7988964236933337E-2</v>
      </c>
      <c r="S15" s="638"/>
    </row>
    <row r="16" spans="2:19" ht="13.5" thickBot="1">
      <c r="B16" s="638"/>
      <c r="C16" s="1224" t="s">
        <v>78</v>
      </c>
      <c r="D16" s="1225"/>
      <c r="E16" s="1087">
        <f>+E13+E14+E15</f>
        <v>1243.4187000000002</v>
      </c>
      <c r="F16" s="654">
        <f t="shared" si="1"/>
        <v>5.3429829732716941E-2</v>
      </c>
      <c r="G16" s="630">
        <f>+G13+G14+G15</f>
        <v>1302.8170738314886</v>
      </c>
      <c r="H16" s="655">
        <f>'[4]PIB Estructural II TRIM 2005-12'!AQ16</f>
        <v>2.5865198925296928E-2</v>
      </c>
      <c r="I16" s="656"/>
      <c r="J16" s="657">
        <f>K16/G16-1</f>
        <v>9.0160947349387621E-2</v>
      </c>
      <c r="K16" s="658">
        <f>SUM(K13:K15)</f>
        <v>1420.2802954310928</v>
      </c>
      <c r="L16" s="659">
        <f t="shared" si="2"/>
        <v>4.9796607131897194E-2</v>
      </c>
      <c r="M16" s="657">
        <f>N16/G16-1</f>
        <v>6.5296563560092613E-2</v>
      </c>
      <c r="N16" s="658">
        <f>SUM(N13:N15)</f>
        <v>1387.8865517001004</v>
      </c>
      <c r="O16" s="659">
        <f t="shared" si="0"/>
        <v>5.0041607577806888E-2</v>
      </c>
      <c r="P16" s="657">
        <f>Q16/G16-1</f>
        <v>-4.2794788361928959E-2</v>
      </c>
      <c r="Q16" s="658">
        <f>SUM(Q13:Q15)</f>
        <v>1247.0632928825626</v>
      </c>
      <c r="R16" s="659">
        <f>Q16/$Q$42</f>
        <v>4.6656093991440585E-2</v>
      </c>
      <c r="S16" s="638"/>
    </row>
    <row r="17" spans="2:19">
      <c r="B17" s="638"/>
      <c r="C17" s="1250" t="s">
        <v>79</v>
      </c>
      <c r="D17" s="1251"/>
      <c r="E17" s="660">
        <f>'[4]2001-2011 Contraloría Historico'!N16</f>
        <v>1214.7</v>
      </c>
      <c r="F17" s="661">
        <f t="shared" si="1"/>
        <v>5.2195784232882507E-2</v>
      </c>
      <c r="G17" s="662">
        <f>'[4]PIB Estruc. Est. II Trim 2012'!L18</f>
        <v>1255.6281346565049</v>
      </c>
      <c r="H17" s="647">
        <f>'[4]PIB Estructural II TRIM 2005-12'!AR17</f>
        <v>4.0016541008747408E-2</v>
      </c>
      <c r="I17" s="623">
        <f>(G17/E17)-1</f>
        <v>3.3694027049069541E-2</v>
      </c>
      <c r="J17" s="622">
        <f>'[4]PIB 2012, tres metodologías (M)'!AL14</f>
        <v>3.2293702727967943E-2</v>
      </c>
      <c r="K17" s="653">
        <f>G17*(1+J17)</f>
        <v>1296.177016373975</v>
      </c>
      <c r="L17" s="650">
        <f t="shared" si="2"/>
        <v>4.5445408110923853E-2</v>
      </c>
      <c r="M17" s="618">
        <f>'[4]PIB 2012, tres metodologías (M)'!AM14</f>
        <v>1.6996528014536594E-2</v>
      </c>
      <c r="N17" s="653">
        <f>G17*(1+M17)</f>
        <v>1276.9694534230346</v>
      </c>
      <c r="O17" s="650">
        <f t="shared" si="0"/>
        <v>4.6042383074297658E-2</v>
      </c>
      <c r="P17" s="618">
        <f>'[4]PIB 2012, tres metodologías (M)'!AJ14</f>
        <v>-5.9783072849944885E-3</v>
      </c>
      <c r="Q17" s="653">
        <f>G17*(1+P17)</f>
        <v>1248.1216038318439</v>
      </c>
      <c r="R17" s="650">
        <f>Q17/$Q$42</f>
        <v>4.6695688337135506E-2</v>
      </c>
      <c r="S17" s="638"/>
    </row>
    <row r="18" spans="2:19">
      <c r="B18" s="638"/>
      <c r="C18" s="1221" t="s">
        <v>80</v>
      </c>
      <c r="D18" s="1222"/>
      <c r="E18" s="617">
        <f>'[4]2001-2011 Contraloría Historico'!N17</f>
        <v>610.72050000000002</v>
      </c>
      <c r="F18" s="1053">
        <f t="shared" si="1"/>
        <v>2.6242722848932348E-2</v>
      </c>
      <c r="G18" s="646">
        <f>'[4]PIB Estruc. Est. II Trim 2012'!L19</f>
        <v>677.45713622650635</v>
      </c>
      <c r="H18" s="652">
        <f>'[4]PIB Estructural II TRIM 2005-12'!AR18</f>
        <v>0.12398504687116407</v>
      </c>
      <c r="I18" s="623">
        <f>(G18/E18)-1</f>
        <v>0.1092752514882116</v>
      </c>
      <c r="J18" s="622">
        <f>'[4]PIB 2012, tres metodologías (M)'!AL15</f>
        <v>6.1742597171308145E-2</v>
      </c>
      <c r="K18" s="653">
        <f>G18*(1+J18)</f>
        <v>719.28509928936751</v>
      </c>
      <c r="L18" s="629">
        <f t="shared" si="2"/>
        <v>2.5218935741320413E-2</v>
      </c>
      <c r="M18" s="618">
        <f>'[4]PIB 2012, tres metodologías (M)'!AM15</f>
        <v>5.5157835231216007E-2</v>
      </c>
      <c r="N18" s="653">
        <f>G18*(1+M18)</f>
        <v>714.82420532269953</v>
      </c>
      <c r="O18" s="629">
        <f t="shared" si="0"/>
        <v>2.5773686131664243E-2</v>
      </c>
      <c r="P18" s="618">
        <f>'[4]PIB 2012, tres metodologías (M)'!AJ15</f>
        <v>7.4766355140186924E-2</v>
      </c>
      <c r="Q18" s="653">
        <f>G18*(1+P18)</f>
        <v>728.10813706587135</v>
      </c>
      <c r="R18" s="629">
        <f>Q18/$N$42</f>
        <v>2.6252651288123097E-2</v>
      </c>
      <c r="S18" s="638"/>
    </row>
    <row r="19" spans="2:19">
      <c r="B19" s="638"/>
      <c r="C19" s="1221" t="s">
        <v>81</v>
      </c>
      <c r="D19" s="1222"/>
      <c r="E19" s="617">
        <f>'[4]2001-2011 Contraloría Historico'!N18</f>
        <v>1437.3512000000001</v>
      </c>
      <c r="F19" s="1053">
        <f t="shared" si="1"/>
        <v>6.1763129251728617E-2</v>
      </c>
      <c r="G19" s="646">
        <f>'[4]PIB Estruc. Est. II Trim 2012'!L20</f>
        <v>1902.2146326074801</v>
      </c>
      <c r="H19" s="652">
        <f>'[4]PIB Estructural II TRIM 2005-12'!AR19</f>
        <v>0.27999109831661739</v>
      </c>
      <c r="I19" s="623">
        <f>(G19/E19)-1</f>
        <v>0.32341673531665749</v>
      </c>
      <c r="J19" s="622">
        <f>'[4]PIB 2012, tres metodologías (M)'!AL16</f>
        <v>0.1919561540287853</v>
      </c>
      <c r="K19" s="653">
        <f>G19*(1+J19)</f>
        <v>2267.3564376200907</v>
      </c>
      <c r="L19" s="629">
        <f t="shared" si="2"/>
        <v>7.9496038996918886E-2</v>
      </c>
      <c r="M19" s="618">
        <f>'[4]PIB 2012, tres metodologías (M)'!AM16</f>
        <v>0.13813989304030863</v>
      </c>
      <c r="N19" s="653">
        <f>G19*(1+M19)</f>
        <v>2164.9863584955874</v>
      </c>
      <c r="O19" s="629">
        <f t="shared" si="0"/>
        <v>7.8060701453177353E-2</v>
      </c>
      <c r="P19" s="618">
        <f>'[4]PIB 2012, tres metodologías (M)'!AJ16</f>
        <v>4.6232558139534863E-2</v>
      </c>
      <c r="Q19" s="653">
        <f>G19*(1+P19)</f>
        <v>1990.1588812033795</v>
      </c>
      <c r="R19" s="629">
        <f t="shared" ref="R19:R42" si="3">Q19/$Q$42</f>
        <v>7.4457359421346694E-2</v>
      </c>
      <c r="S19" s="638"/>
    </row>
    <row r="20" spans="2:19">
      <c r="B20" s="638"/>
      <c r="C20" s="1221" t="s">
        <v>82</v>
      </c>
      <c r="D20" s="1222"/>
      <c r="E20" s="617">
        <f>'[4]2001-2011 Contraloría Historico'!N21</f>
        <v>5578.7956871036886</v>
      </c>
      <c r="F20" s="1053">
        <f t="shared" si="1"/>
        <v>0.23972142583633788</v>
      </c>
      <c r="G20" s="646">
        <f>'[4]PIB Estruc. Est. II Trim 2012'!L21</f>
        <v>6312.1304056978479</v>
      </c>
      <c r="H20" s="652">
        <f>'[4]PIB Estructural II TRIM 2005-12'!AR20</f>
        <v>0.12161452134361772</v>
      </c>
      <c r="I20" s="623">
        <f>(G20/E20)-1</f>
        <v>0.1314503630755619</v>
      </c>
      <c r="J20" s="622">
        <f>'[4]PIB 2012, tres metodologías (M)'!AL17</f>
        <v>0.14083850981682366</v>
      </c>
      <c r="K20" s="653">
        <f>G20*(1+J20)</f>
        <v>7201.1214458057957</v>
      </c>
      <c r="L20" s="629">
        <f t="shared" si="2"/>
        <v>0.25247932869267098</v>
      </c>
      <c r="M20" s="618">
        <f>'[4]PIB 2012, tres metodologías (M)'!AM17</f>
        <v>0.12180689086900812</v>
      </c>
      <c r="N20" s="653">
        <f>G20*(1+M20)</f>
        <v>7080.9913851756337</v>
      </c>
      <c r="O20" s="629">
        <f t="shared" si="0"/>
        <v>0.25531207267966832</v>
      </c>
      <c r="P20" s="618">
        <f>'[4]PIB 2012, tres metodologías (M)'!AJ17</f>
        <v>8.1909878858533069E-2</v>
      </c>
      <c r="Q20" s="653">
        <f>G20*(1+P20)</f>
        <v>6829.1562425678221</v>
      </c>
      <c r="R20" s="629">
        <f t="shared" si="3"/>
        <v>0.25549766187006395</v>
      </c>
      <c r="S20" s="638"/>
    </row>
    <row r="21" spans="2:19" ht="13.5" thickBot="1">
      <c r="B21" s="638"/>
      <c r="C21" s="1224" t="s">
        <v>83</v>
      </c>
      <c r="D21" s="1225"/>
      <c r="E21" s="1087">
        <f>+E17+E18+E19+E20</f>
        <v>8841.5673871036888</v>
      </c>
      <c r="F21" s="624">
        <f t="shared" si="1"/>
        <v>0.37992306216988136</v>
      </c>
      <c r="G21" s="630">
        <f>+G17+G18+G19+G20</f>
        <v>10147.430309188339</v>
      </c>
      <c r="H21" s="655">
        <f>'[4]PIB Estructural II TRIM 2005-12'!AQ21</f>
        <v>0.13419115542472926</v>
      </c>
      <c r="I21" s="656"/>
      <c r="J21" s="657">
        <f>K21/G21-1</f>
        <v>0.13170917652823899</v>
      </c>
      <c r="K21" s="658">
        <f>SUM(K17:K20)</f>
        <v>11483.939999089229</v>
      </c>
      <c r="L21" s="659">
        <f t="shared" si="2"/>
        <v>0.40263971154183414</v>
      </c>
      <c r="M21" s="657">
        <f>N21/G21-1</f>
        <v>0.1074499710770449</v>
      </c>
      <c r="N21" s="658">
        <f>SUM(N17:N20)</f>
        <v>11237.771402416955</v>
      </c>
      <c r="O21" s="659">
        <f t="shared" si="0"/>
        <v>0.40518884333880756</v>
      </c>
      <c r="P21" s="657">
        <f>Q21/G21-1</f>
        <v>6.3869820805147137E-2</v>
      </c>
      <c r="Q21" s="658">
        <f>SUM(Q17:Q20)</f>
        <v>10795.544864668916</v>
      </c>
      <c r="R21" s="659">
        <f t="shared" si="3"/>
        <v>0.40389125296965872</v>
      </c>
      <c r="S21" s="638"/>
    </row>
    <row r="22" spans="2:19">
      <c r="B22" s="638"/>
      <c r="C22" s="1248" t="s">
        <v>84</v>
      </c>
      <c r="D22" s="1249"/>
      <c r="E22" s="663">
        <f>'[4]2001-2011 Contraloría Historico'!N19</f>
        <v>3443.7141371068365</v>
      </c>
      <c r="F22" s="664">
        <f t="shared" si="1"/>
        <v>0.14797675151078915</v>
      </c>
      <c r="G22" s="646">
        <f>'[4]PIB Estruc. Est. II Trim 2012'!L23</f>
        <v>3743.3584220308762</v>
      </c>
      <c r="H22" s="652">
        <f>'[4]PIB Estructural II TRIM 2005-12'!AR22</f>
        <v>9.545682748074924E-2</v>
      </c>
      <c r="I22" s="623">
        <f t="shared" ref="I22:I27" si="4">(G22/E22)-1</f>
        <v>8.701195075842727E-2</v>
      </c>
      <c r="J22" s="622">
        <f>'[4]PIB 2012, tres metodologías (M)'!AL19</f>
        <v>0.14429152053506433</v>
      </c>
      <c r="K22" s="653">
        <f t="shared" ref="K22:K27" si="5">G22*(1+J22)</f>
        <v>4283.4933006534502</v>
      </c>
      <c r="L22" s="629">
        <f t="shared" si="2"/>
        <v>0.1501840402425707</v>
      </c>
      <c r="M22" s="622">
        <f>'[4]PIB 2012, tres metodologías (M)'!AM19</f>
        <v>7.2922852502018173E-2</v>
      </c>
      <c r="N22" s="653">
        <f t="shared" ref="N22:N27" si="6">G22*(1+M22)</f>
        <v>4016.3347961028217</v>
      </c>
      <c r="O22" s="629">
        <f t="shared" si="0"/>
        <v>0.14481288079452315</v>
      </c>
      <c r="P22" s="618">
        <f>'[4]PIB 2012, tres metodologías (M)'!AJ19</f>
        <v>1.5694568121104258E-2</v>
      </c>
      <c r="Q22" s="653">
        <f t="shared" ref="Q22:Q27" si="7">G22*(1+P22)</f>
        <v>3802.1088157871491</v>
      </c>
      <c r="R22" s="629">
        <f t="shared" si="3"/>
        <v>0.14224742824801856</v>
      </c>
      <c r="S22" s="638"/>
    </row>
    <row r="23" spans="2:19">
      <c r="B23" s="638"/>
      <c r="C23" s="1221" t="s">
        <v>85</v>
      </c>
      <c r="D23" s="1222"/>
      <c r="E23" s="665">
        <f>'[4]2001-2011 Contraloría Historico'!N20</f>
        <v>663.98419999999999</v>
      </c>
      <c r="F23" s="1088">
        <f t="shared" si="1"/>
        <v>2.8531469529301971E-2</v>
      </c>
      <c r="G23" s="646">
        <f>'[4]PIB Estruc. Est. II Trim 2012'!L24</f>
        <v>730.58511327025087</v>
      </c>
      <c r="H23" s="652">
        <f>'[4]PIB Estructural II TRIM 2005-12'!AR23</f>
        <v>0.11571551633834121</v>
      </c>
      <c r="I23" s="623">
        <f t="shared" si="4"/>
        <v>0.1003049670010987</v>
      </c>
      <c r="J23" s="622">
        <f>'[4]PIB 2012, tres metodologías (M)'!AL20</f>
        <v>9.3829763750212125E-2</v>
      </c>
      <c r="K23" s="653">
        <f t="shared" si="5"/>
        <v>799.13574184782044</v>
      </c>
      <c r="L23" s="629">
        <f t="shared" si="2"/>
        <v>2.8018588098326407E-2</v>
      </c>
      <c r="M23" s="618">
        <f>'[4]PIB 2012, tres metodologías (M)'!AM20</f>
        <v>9.8632076322198239E-2</v>
      </c>
      <c r="N23" s="653">
        <f t="shared" si="6"/>
        <v>802.64423992218406</v>
      </c>
      <c r="O23" s="629">
        <f t="shared" si="0"/>
        <v>2.8940123405311408E-2</v>
      </c>
      <c r="P23" s="618">
        <f>'[4]PIB 2012, tres metodologías (M)'!AJ20</f>
        <v>2.5751072961373467E-2</v>
      </c>
      <c r="Q23" s="653">
        <f t="shared" si="7"/>
        <v>749.3984638265664</v>
      </c>
      <c r="R23" s="629">
        <f t="shared" si="3"/>
        <v>2.8037073470837916E-2</v>
      </c>
      <c r="S23" s="638"/>
    </row>
    <row r="24" spans="2:19">
      <c r="B24" s="638"/>
      <c r="C24" s="1221" t="s">
        <v>86</v>
      </c>
      <c r="D24" s="1222"/>
      <c r="E24" s="665">
        <f>'[4]2001-2011 Contraloría Historico'!N22</f>
        <v>1886.4569999999999</v>
      </c>
      <c r="F24" s="1088">
        <f t="shared" si="1"/>
        <v>8.1061251779542959E-2</v>
      </c>
      <c r="G24" s="646">
        <f>'[4]PIB Estruc. Est. II Trim 2012'!L25</f>
        <v>2130.5488990281356</v>
      </c>
      <c r="H24" s="652">
        <f>'[4]PIB Estructural II TRIM 2005-12'!AR24</f>
        <v>0.11010081657366033</v>
      </c>
      <c r="I24" s="623">
        <f t="shared" si="4"/>
        <v>0.12939171103721714</v>
      </c>
      <c r="J24" s="622">
        <f>'[4]PIB 2012, tres metodologías (M)'!AL21</f>
        <v>7.5160719246197383E-2</v>
      </c>
      <c r="K24" s="653">
        <f t="shared" si="5"/>
        <v>2290.6824866682841</v>
      </c>
      <c r="L24" s="629">
        <f t="shared" si="2"/>
        <v>8.0313876225337019E-2</v>
      </c>
      <c r="M24" s="618">
        <f>'[4]PIB 2012, tres metodologías (M)'!AM21</f>
        <v>5.6345792311559964E-2</v>
      </c>
      <c r="N24" s="653">
        <f t="shared" si="6"/>
        <v>2250.5963648023976</v>
      </c>
      <c r="O24" s="629">
        <f t="shared" si="0"/>
        <v>8.1147453994363933E-2</v>
      </c>
      <c r="P24" s="618">
        <f>'[4]PIB 2012, tres metodologías (M)'!AJ21</f>
        <v>2.898550724637694E-2</v>
      </c>
      <c r="Q24" s="653">
        <f t="shared" si="7"/>
        <v>2192.3039395796759</v>
      </c>
      <c r="R24" s="629">
        <f t="shared" si="3"/>
        <v>8.2020166295173821E-2</v>
      </c>
      <c r="S24" s="638"/>
    </row>
    <row r="25" spans="2:19">
      <c r="B25" s="638"/>
      <c r="C25" s="1221" t="s">
        <v>87</v>
      </c>
      <c r="D25" s="1222"/>
      <c r="E25" s="665">
        <f>'[4]2001-2011 Contraloría Historico'!N23</f>
        <v>1208.6253069941029</v>
      </c>
      <c r="F25" s="1088">
        <f t="shared" si="1"/>
        <v>5.19347540481317E-2</v>
      </c>
      <c r="G25" s="646">
        <f>'[4]PIB Estruc. Est. II Trim 2012'!L26</f>
        <v>1278.4622371386458</v>
      </c>
      <c r="H25" s="652">
        <f>'[4]PIB Estructural II TRIM 2005-12'!AR25</f>
        <v>6.1271527512106072E-2</v>
      </c>
      <c r="I25" s="623">
        <f t="shared" si="4"/>
        <v>5.7782118031460161E-2</v>
      </c>
      <c r="J25" s="622">
        <f>'[4]PIB 2012, tres metodologías (M)'!AL22</f>
        <v>9.0431062607446044E-2</v>
      </c>
      <c r="K25" s="653">
        <f t="shared" si="5"/>
        <v>1394.0749357465863</v>
      </c>
      <c r="L25" s="629">
        <f t="shared" si="2"/>
        <v>4.8877818069514731E-2</v>
      </c>
      <c r="M25" s="618">
        <f>'[4]PIB 2012, tres metodologías (M)'!AM22</f>
        <v>5.7578954900528584E-2</v>
      </c>
      <c r="N25" s="653">
        <f t="shared" si="6"/>
        <v>1352.0747566328807</v>
      </c>
      <c r="O25" s="629">
        <f t="shared" si="0"/>
        <v>4.8750378267157952E-2</v>
      </c>
      <c r="P25" s="618">
        <f>'[4]PIB 2012, tres metodologías (M)'!AJ22</f>
        <v>-2.4054982817869552E-2</v>
      </c>
      <c r="Q25" s="653">
        <f t="shared" si="7"/>
        <v>1247.7088499909805</v>
      </c>
      <c r="R25" s="629">
        <f t="shared" si="3"/>
        <v>4.668024607201187E-2</v>
      </c>
      <c r="S25" s="638"/>
    </row>
    <row r="26" spans="2:19">
      <c r="B26" s="638"/>
      <c r="C26" s="1221" t="s">
        <v>88</v>
      </c>
      <c r="D26" s="1222"/>
      <c r="E26" s="665">
        <f>'[4]2001-2011 Contraloría Historico'!N24</f>
        <v>150.34129999999999</v>
      </c>
      <c r="F26" s="666">
        <f t="shared" si="1"/>
        <v>6.4601811608554034E-3</v>
      </c>
      <c r="G26" s="646">
        <f>'[4]PIB Estruc. Est. II Trim 2012'!L27</f>
        <v>158.32312946995083</v>
      </c>
      <c r="H26" s="652">
        <f>'[4]PIB Estructural II TRIM 2005-12'!AR26</f>
        <v>5.1502833158881822E-2</v>
      </c>
      <c r="I26" s="623">
        <f t="shared" si="4"/>
        <v>5.3091395843662736E-2</v>
      </c>
      <c r="J26" s="622">
        <f>'[4]PIB 2012, tres metodologías (M)'!AL23</f>
        <v>4.7553384068463211E-2</v>
      </c>
      <c r="K26" s="653">
        <f t="shared" si="5"/>
        <v>165.85193005255644</v>
      </c>
      <c r="L26" s="629">
        <f t="shared" si="2"/>
        <v>5.814953167668402E-3</v>
      </c>
      <c r="M26" s="618">
        <f>'[4]PIB 2012, tres metodologías (M)'!AM23</f>
        <v>6.1976994963137105E-2</v>
      </c>
      <c r="N26" s="653">
        <f t="shared" si="6"/>
        <v>168.13552126765805</v>
      </c>
      <c r="O26" s="629">
        <f t="shared" si="0"/>
        <v>6.0622907289213553E-3</v>
      </c>
      <c r="P26" s="618">
        <f>'[4]PIB 2012, tres metodologías (M)'!AJ23</f>
        <v>0.11330049261083741</v>
      </c>
      <c r="Q26" s="653">
        <f t="shared" si="7"/>
        <v>176.26121803058564</v>
      </c>
      <c r="R26" s="629">
        <f t="shared" si="3"/>
        <v>6.5944206700784009E-3</v>
      </c>
      <c r="S26" s="638"/>
    </row>
    <row r="27" spans="2:19">
      <c r="B27" s="638"/>
      <c r="C27" s="1221" t="s">
        <v>89</v>
      </c>
      <c r="D27" s="1222"/>
      <c r="E27" s="1065">
        <f>-'[4]2001-2011 Contraloría Historico'!N27</f>
        <v>-470.28049999999996</v>
      </c>
      <c r="F27" s="1088">
        <f t="shared" si="1"/>
        <v>-2.0208001569879064E-2</v>
      </c>
      <c r="G27" s="1065">
        <f>'[4]PIB Estruc. Est. II Trim 2012'!L28</f>
        <v>-491.40667686445676</v>
      </c>
      <c r="H27" s="652">
        <f>'[4]PIB Estructural II TRIM 2005-12'!AR27</f>
        <v>1.9073451166945254E-2</v>
      </c>
      <c r="I27" s="623">
        <f t="shared" si="4"/>
        <v>4.4922502345848381E-2</v>
      </c>
      <c r="J27" s="622">
        <f>'[4]PIB 2012, tres metodologías (M)'!AL24</f>
        <v>5.2834656016842452E-2</v>
      </c>
      <c r="K27" s="667">
        <f t="shared" si="5"/>
        <v>-517.36997960096994</v>
      </c>
      <c r="L27" s="629">
        <f t="shared" si="2"/>
        <v>-1.8139567026948952E-2</v>
      </c>
      <c r="M27" s="618">
        <f>'[4]PIB 2012, tres metodologías (M)'!AM24</f>
        <v>2.4549770824181513E-2</v>
      </c>
      <c r="N27" s="667">
        <f t="shared" si="6"/>
        <v>-503.47059816295177</v>
      </c>
      <c r="O27" s="629">
        <f t="shared" si="0"/>
        <v>-1.8153125029831869E-2</v>
      </c>
      <c r="P27" s="618">
        <f>'[4]PIB 2012, tres metodologías (M)'!AJ24</f>
        <v>6.585788561525141E-2</v>
      </c>
      <c r="Q27" s="667">
        <f t="shared" si="7"/>
        <v>-523.76968157996691</v>
      </c>
      <c r="R27" s="629">
        <f t="shared" si="3"/>
        <v>-1.9595675402469814E-2</v>
      </c>
      <c r="S27" s="638"/>
    </row>
    <row r="28" spans="2:19" ht="13.5" thickBot="1">
      <c r="B28" s="638"/>
      <c r="C28" s="1224" t="s">
        <v>90</v>
      </c>
      <c r="D28" s="1225"/>
      <c r="E28" s="1087">
        <f>+E22+E23+E24+E25+E26+E27</f>
        <v>6882.84144410094</v>
      </c>
      <c r="F28" s="624"/>
      <c r="G28" s="630">
        <f>+G22+G23+G24+G25+G26+G27</f>
        <v>7549.8711240734019</v>
      </c>
      <c r="H28" s="626">
        <f>'[4]PIB Estructural II TRIM 2005-12'!AQ28</f>
        <v>9.820876420027802E-2</v>
      </c>
      <c r="I28" s="656"/>
      <c r="J28" s="657">
        <f>K28/G28-1</f>
        <v>0.11470358593711882</v>
      </c>
      <c r="K28" s="658">
        <f>SUM(K22:K27)</f>
        <v>8415.8684153677277</v>
      </c>
      <c r="L28" s="623">
        <f t="shared" si="2"/>
        <v>0.29506970877646832</v>
      </c>
      <c r="M28" s="657">
        <f>N28/G28-1</f>
        <v>7.1053392524951908E-2</v>
      </c>
      <c r="N28" s="658">
        <f>SUM(N22:N27)</f>
        <v>8086.3150805649893</v>
      </c>
      <c r="O28" s="623">
        <f t="shared" si="0"/>
        <v>0.29156000216044592</v>
      </c>
      <c r="P28" s="657">
        <f>Q28/G28-1</f>
        <v>1.2469150799331308E-2</v>
      </c>
      <c r="Q28" s="658">
        <f>SUM(Q22:Q27)</f>
        <v>7644.0116056349907</v>
      </c>
      <c r="R28" s="623">
        <f t="shared" si="3"/>
        <v>0.28598365935365078</v>
      </c>
      <c r="S28" s="638"/>
    </row>
    <row r="29" spans="2:19">
      <c r="B29" s="638"/>
      <c r="C29" s="1248" t="s">
        <v>91</v>
      </c>
      <c r="D29" s="1249"/>
      <c r="E29" s="651">
        <f>'[4]2001-2011 Contraloría Historico'!N25</f>
        <v>196.6474</v>
      </c>
      <c r="F29" s="645">
        <f t="shared" ref="F29:F35" si="8">E29/$E$42</f>
        <v>8.4499590519118619E-3</v>
      </c>
      <c r="G29" s="646">
        <f>'[4]PIB Estruc. Est. II Trim 2012'!L30</f>
        <v>202.42682965267059</v>
      </c>
      <c r="H29" s="652">
        <f>'[4]PIB Estructural II TRIM 2005-12'!AR29</f>
        <v>3.1949843931855071E-2</v>
      </c>
      <c r="I29" s="623">
        <f t="shared" ref="I29:I35" si="9">(G29/E29)-1</f>
        <v>2.9389809642388354E-2</v>
      </c>
      <c r="J29" s="622">
        <f>'[4]PIB 2012, tres metodologías (M)'!AL26</f>
        <v>4.2486180845249244E-2</v>
      </c>
      <c r="K29" s="653">
        <f t="shared" ref="K29:K34" si="10">G29*(1+J29)</f>
        <v>211.0271725452244</v>
      </c>
      <c r="L29" s="650">
        <f t="shared" si="2"/>
        <v>7.3988474241276662E-3</v>
      </c>
      <c r="M29" s="618">
        <f>'[4]PIB 2012, tres metodologías (M)'!AM26</f>
        <v>5.8000352065641414E-2</v>
      </c>
      <c r="N29" s="653">
        <f t="shared" ref="N29:N34" si="11">G29*(1+M29)</f>
        <v>214.16765704005709</v>
      </c>
      <c r="O29" s="650">
        <f t="shared" si="0"/>
        <v>7.722024423630772E-3</v>
      </c>
      <c r="P29" s="618">
        <f>'[4]PIB 2012, tres metodologías (M)'!AJ26</f>
        <v>4.8810250152532042E-2</v>
      </c>
      <c r="Q29" s="653">
        <f t="shared" ref="Q29:Q34" si="12">G29*(1+P29)</f>
        <v>212.30733384560142</v>
      </c>
      <c r="R29" s="650">
        <f t="shared" si="3"/>
        <v>7.9430057636259363E-3</v>
      </c>
      <c r="S29" s="638"/>
    </row>
    <row r="30" spans="2:19">
      <c r="B30" s="638"/>
      <c r="C30" s="1221" t="s">
        <v>92</v>
      </c>
      <c r="D30" s="1222"/>
      <c r="E30" s="651">
        <f>'[4]2001-2011 Contraloría Historico'!N26</f>
        <v>663.11840000000007</v>
      </c>
      <c r="F30" s="1053">
        <f t="shared" si="8"/>
        <v>2.8494266014039909E-2</v>
      </c>
      <c r="G30" s="646">
        <f>'[4]PIB Estruc. Est. II Trim 2012'!L31</f>
        <v>718.23332946725714</v>
      </c>
      <c r="H30" s="652">
        <f>'[4]PIB Estructural II TRIM 2005-12'!AR30</f>
        <v>9.8822940241576118E-2</v>
      </c>
      <c r="I30" s="623">
        <f t="shared" si="9"/>
        <v>8.3114764221980719E-2</v>
      </c>
      <c r="J30" s="622">
        <f>'[4]PIB 2012, tres metodologías (M)'!AL27</f>
        <v>8.8698505442489806E-2</v>
      </c>
      <c r="K30" s="653">
        <f t="shared" si="10"/>
        <v>781.93955234998623</v>
      </c>
      <c r="L30" s="629">
        <f t="shared" si="2"/>
        <v>2.7415670564833912E-2</v>
      </c>
      <c r="M30" s="618">
        <f>'[4]PIB 2012, tres metodologías (M)'!AM27</f>
        <v>6.0396394392206933E-2</v>
      </c>
      <c r="N30" s="653">
        <f t="shared" si="11"/>
        <v>761.61203289938953</v>
      </c>
      <c r="O30" s="629">
        <f t="shared" si="0"/>
        <v>2.7460667033772399E-2</v>
      </c>
      <c r="P30" s="618">
        <f>'[4]PIB 2012, tres metodologías (M)'!AJ27</f>
        <v>4.9607878898413338E-2</v>
      </c>
      <c r="Q30" s="653">
        <f t="shared" si="12"/>
        <v>753.863361496273</v>
      </c>
      <c r="R30" s="629">
        <f t="shared" si="3"/>
        <v>2.8204117667013782E-2</v>
      </c>
      <c r="S30" s="638"/>
    </row>
    <row r="31" spans="2:19">
      <c r="B31" s="638"/>
      <c r="C31" s="1282" t="s">
        <v>93</v>
      </c>
      <c r="D31" s="1283"/>
      <c r="E31" s="651">
        <f>'[4]2001-2011 Contraloría Historico'!N37</f>
        <v>1468.1000000000001</v>
      </c>
      <c r="F31" s="1053">
        <f t="shared" si="8"/>
        <v>6.3084408357861874E-2</v>
      </c>
      <c r="G31" s="646">
        <f>'[4]PIB Estruc. Est. II Trim 2012'!L32</f>
        <v>1553.713180672306</v>
      </c>
      <c r="H31" s="652">
        <f>'[4]PIB Estructural II TRIM 2005-12'!AR31</f>
        <v>5.6248744886313151E-2</v>
      </c>
      <c r="I31" s="623">
        <f t="shared" si="9"/>
        <v>5.8315632908048309E-2</v>
      </c>
      <c r="J31" s="622">
        <f>'[4]PIB 2012, tres metodologías (M)'!AL28</f>
        <v>5.360987512559201E-2</v>
      </c>
      <c r="K31" s="653">
        <f t="shared" si="10"/>
        <v>1637.0075502691348</v>
      </c>
      <c r="L31" s="629">
        <f t="shared" si="2"/>
        <v>5.7395305782200437E-2</v>
      </c>
      <c r="M31" s="618">
        <f>'[4]PIB 2012, tres metodologías (M)'!AM28</f>
        <v>2.6620699446315024E-2</v>
      </c>
      <c r="N31" s="653">
        <f t="shared" si="11"/>
        <v>1595.0741122807615</v>
      </c>
      <c r="O31" s="629">
        <f t="shared" si="0"/>
        <v>5.7511957794026063E-2</v>
      </c>
      <c r="P31" s="618">
        <f>'[4]PIB 2012, tres metodologías (M)'!AJ28</f>
        <v>2.4602573807721351E-2</v>
      </c>
      <c r="Q31" s="653">
        <f t="shared" si="12"/>
        <v>1591.9385238758259</v>
      </c>
      <c r="R31" s="629">
        <f t="shared" si="3"/>
        <v>5.9558832195969504E-2</v>
      </c>
      <c r="S31" s="638"/>
    </row>
    <row r="32" spans="2:19">
      <c r="B32" s="638"/>
      <c r="C32" s="1284" t="s">
        <v>94</v>
      </c>
      <c r="D32" s="1285"/>
      <c r="E32" s="651">
        <f>'[4]2001-2011 Contraloría Historico'!N29</f>
        <v>51.746000000000002</v>
      </c>
      <c r="F32" s="1053">
        <f t="shared" si="8"/>
        <v>2.2235309548981133E-3</v>
      </c>
      <c r="G32" s="646">
        <f>'[4]PIB Estruc. Est. II Trim 2012'!L33</f>
        <v>62.787064274090405</v>
      </c>
      <c r="H32" s="652">
        <f>'[4]PIB Estructural II TRIM 2005-12'!AR32</f>
        <v>0.18288805339141101</v>
      </c>
      <c r="I32" s="623">
        <f t="shared" si="9"/>
        <v>0.21337039141364356</v>
      </c>
      <c r="J32" s="622">
        <f>'[4]PIB 2012, tres metodologías (M)'!AL29</f>
        <v>0.11424295604052492</v>
      </c>
      <c r="K32" s="653">
        <f t="shared" si="10"/>
        <v>69.960044097868931</v>
      </c>
      <c r="L32" s="629">
        <f t="shared" si="2"/>
        <v>2.4528769722981791E-3</v>
      </c>
      <c r="M32" s="618">
        <f>'[4]PIB 2012, tres metodologías (M)'!AM29</f>
        <v>7.2076330839000183E-2</v>
      </c>
      <c r="N32" s="653">
        <f t="shared" si="11"/>
        <v>67.312525491119317</v>
      </c>
      <c r="O32" s="629">
        <f t="shared" si="0"/>
        <v>2.4270189674880415E-3</v>
      </c>
      <c r="P32" s="618">
        <f>'[4]PIB 2012, tres metodologías (M)'!AJ29</f>
        <v>8.8300220750552327E-3</v>
      </c>
      <c r="Q32" s="653">
        <f t="shared" si="12"/>
        <v>63.341475437658538</v>
      </c>
      <c r="R32" s="629">
        <f t="shared" si="3"/>
        <v>2.3697801454366299E-3</v>
      </c>
      <c r="S32" s="638"/>
    </row>
    <row r="33" spans="2:19">
      <c r="B33" s="638"/>
      <c r="C33" s="1252" t="s">
        <v>95</v>
      </c>
      <c r="D33" s="1286"/>
      <c r="E33" s="651">
        <f>'[4]2001-2011 Contraloría Historico'!N30</f>
        <v>2186.3839999999996</v>
      </c>
      <c r="F33" s="1053">
        <f t="shared" si="8"/>
        <v>9.3949145891353059E-2</v>
      </c>
      <c r="G33" s="646">
        <f>'[4]PIB Estruc. Est. II Trim 2012'!L34</f>
        <v>2315.8691107301374</v>
      </c>
      <c r="H33" s="652">
        <f>'[4]PIB Estructural II TRIM 2005-12'!AR33</f>
        <v>5.9182590970565663E-2</v>
      </c>
      <c r="I33" s="623">
        <f t="shared" si="9"/>
        <v>5.922340756707789E-2</v>
      </c>
      <c r="J33" s="622">
        <f>'[4]PIB 2012, tres metodologías (M)'!AL30</f>
        <v>7.0470356777592169E-2</v>
      </c>
      <c r="K33" s="653">
        <f>G33*(1+J33)</f>
        <v>2479.0692332134954</v>
      </c>
      <c r="L33" s="629">
        <f t="shared" si="2"/>
        <v>8.6918925127829033E-2</v>
      </c>
      <c r="M33" s="618">
        <f>'[4]PIB 2012, tres metodologías (M)'!AM30</f>
        <v>7.0729259609110487E-2</v>
      </c>
      <c r="N33" s="653">
        <f t="shared" si="11"/>
        <v>2479.6688182836892</v>
      </c>
      <c r="O33" s="629">
        <f t="shared" si="0"/>
        <v>8.9406885437052358E-2</v>
      </c>
      <c r="P33" s="618">
        <f>'[4]PIB 2012, tres metodologías (M)'!AJ30</f>
        <v>0.10355459887137131</v>
      </c>
      <c r="Q33" s="653">
        <f t="shared" si="12"/>
        <v>2555.6880075303961</v>
      </c>
      <c r="R33" s="629">
        <f t="shared" si="3"/>
        <v>9.5615371387059583E-2</v>
      </c>
      <c r="S33" s="638"/>
    </row>
    <row r="34" spans="2:19">
      <c r="B34" s="638"/>
      <c r="C34" s="668" t="s">
        <v>96</v>
      </c>
      <c r="D34" s="669"/>
      <c r="E34" s="651">
        <f>'[4]2001-2011 Contraloría Historico'!N31</f>
        <v>119.47110000000001</v>
      </c>
      <c r="F34" s="1053">
        <f t="shared" si="8"/>
        <v>5.133685484206083E-3</v>
      </c>
      <c r="G34" s="646">
        <f>'[4]PIB Estruc. Est. II Trim 2012'!L35</f>
        <v>125.4187528358886</v>
      </c>
      <c r="H34" s="652">
        <f>'[4]PIB Estructural II TRIM 2005-12'!AR34</f>
        <v>4.3239324472999829E-2</v>
      </c>
      <c r="I34" s="623">
        <f t="shared" si="9"/>
        <v>4.9783193055798369E-2</v>
      </c>
      <c r="J34" s="622">
        <f>'[4]PIB 2012, tres metodologías (M)'!AL31</f>
        <v>3.4375549239095582E-2</v>
      </c>
      <c r="K34" s="653">
        <f t="shared" si="10"/>
        <v>129.73009134950465</v>
      </c>
      <c r="L34" s="629">
        <f t="shared" si="2"/>
        <v>4.5484813194254731E-3</v>
      </c>
      <c r="M34" s="618">
        <f>'[4]PIB 2012, tres metodologías (M)'!AM31</f>
        <v>3.5484324468733175E-2</v>
      </c>
      <c r="N34" s="653">
        <f t="shared" si="11"/>
        <v>129.86915255598112</v>
      </c>
      <c r="O34" s="629">
        <f t="shared" si="0"/>
        <v>4.6825593638816681E-3</v>
      </c>
      <c r="P34" s="618">
        <f>'[4]PIB 2012, tres metodologías (M)'!AJ31</f>
        <v>-7.8465562336530459E-3</v>
      </c>
      <c r="Q34" s="653">
        <f t="shared" si="12"/>
        <v>124.43464753900716</v>
      </c>
      <c r="R34" s="629">
        <f t="shared" si="3"/>
        <v>4.6554450319454812E-3</v>
      </c>
      <c r="S34" s="638"/>
    </row>
    <row r="35" spans="2:19">
      <c r="B35" s="638"/>
      <c r="C35" s="670" t="s">
        <v>97</v>
      </c>
      <c r="D35" s="1089"/>
      <c r="E35" s="651">
        <f>SUM(E32:E34)</f>
        <v>2357.6010999999999</v>
      </c>
      <c r="F35" s="1090">
        <f t="shared" si="8"/>
        <v>0.10130636233045727</v>
      </c>
      <c r="G35" s="1091">
        <f>SUM(G32:G34)</f>
        <v>2504.0749278401163</v>
      </c>
      <c r="H35" s="652">
        <f>'[4]PIB Estructural II TRIM 2005-12'!AR35</f>
        <v>6.120044424647153E-2</v>
      </c>
      <c r="I35" s="623">
        <f t="shared" si="9"/>
        <v>6.2128333686354509E-2</v>
      </c>
      <c r="J35" s="622">
        <f>'[4]PIB 2012, tres metodologías (M)'!AL32</f>
        <v>6.9501312583614139E-2</v>
      </c>
      <c r="K35" s="671">
        <f>SUM(K32:K34)</f>
        <v>2678.7593686608689</v>
      </c>
      <c r="L35" s="629">
        <f t="shared" si="2"/>
        <v>9.3920283419552678E-2</v>
      </c>
      <c r="M35" s="618">
        <f>'[4]PIB 2012, tres metodologías (M)'!AM32</f>
        <v>6.862459100978921E-2</v>
      </c>
      <c r="N35" s="672">
        <f>SUM(N32:N34)</f>
        <v>2676.8504963307896</v>
      </c>
      <c r="O35" s="629">
        <f t="shared" si="0"/>
        <v>9.6516463768422059E-2</v>
      </c>
      <c r="P35" s="618">
        <f>'[4]PIB 2012, tres metodologías (M)'!AJ32</f>
        <v>9.4470168715737879E-2</v>
      </c>
      <c r="Q35" s="672">
        <f>SUM(Q32:Q34)</f>
        <v>2743.4641305070618</v>
      </c>
      <c r="R35" s="629">
        <f t="shared" si="3"/>
        <v>0.10264059656444169</v>
      </c>
      <c r="S35" s="638"/>
    </row>
    <row r="36" spans="2:19" ht="13.5" thickBot="1">
      <c r="B36" s="638"/>
      <c r="C36" s="1224" t="s">
        <v>98</v>
      </c>
      <c r="D36" s="1225"/>
      <c r="E36" s="1087">
        <f>+E29+E30+E31+E35</f>
        <v>4685.4669000000004</v>
      </c>
      <c r="F36" s="624"/>
      <c r="G36" s="630">
        <f>+G29+G30+G31+G35</f>
        <v>4978.4482676323496</v>
      </c>
      <c r="H36" s="673">
        <f>'[4]PIB Estructural II TRIM 2005-12'!AP36</f>
        <v>5.6095509056288684E-2</v>
      </c>
      <c r="I36" s="659"/>
      <c r="J36" s="657">
        <f>'[4]PIB 2012, tres metodologías (M)'!AM33</f>
        <v>5.19459648145447E-2</v>
      </c>
      <c r="K36" s="658">
        <f>+K29+K30+K31+K35</f>
        <v>5308.7336438252141</v>
      </c>
      <c r="L36" s="659">
        <f t="shared" si="2"/>
        <v>0.18613010719071468</v>
      </c>
      <c r="M36" s="657">
        <f>N36/G36-1</f>
        <v>5.4084328377826285E-2</v>
      </c>
      <c r="N36" s="658">
        <f>+N29+N30+N31+N35</f>
        <v>5247.7042985509979</v>
      </c>
      <c r="O36" s="659">
        <f t="shared" si="0"/>
        <v>0.1892111130198513</v>
      </c>
      <c r="P36" s="657">
        <f>Q36/G36-1</f>
        <v>6.4904778501612137E-2</v>
      </c>
      <c r="Q36" s="658">
        <f>+Q29+Q30+Q31+Q35</f>
        <v>5301.573349724762</v>
      </c>
      <c r="R36" s="659">
        <f t="shared" si="3"/>
        <v>0.19834655219105091</v>
      </c>
      <c r="S36" s="638"/>
    </row>
    <row r="37" spans="2:19">
      <c r="B37" s="638"/>
      <c r="C37" s="674" t="s">
        <v>257</v>
      </c>
      <c r="D37" s="1092"/>
      <c r="E37" s="651">
        <f>'[4]2001-2011 Contraloría Historico'!N39</f>
        <v>447.21272687986169</v>
      </c>
      <c r="F37" s="645">
        <f>E37/$E$42</f>
        <v>1.9216776980670352E-2</v>
      </c>
      <c r="G37" s="646">
        <f>'[4]Estimado de Impuestos Netos'!I85</f>
        <v>447.21272687986169</v>
      </c>
      <c r="H37" s="647"/>
      <c r="I37" s="623"/>
      <c r="J37" s="622">
        <f>'[4]PIB 2012, tres metodologías (M)'!AL34</f>
        <v>0.17010132621627871</v>
      </c>
      <c r="K37" s="653">
        <f>G37*(1+J37)</f>
        <v>523.28420482292461</v>
      </c>
      <c r="L37" s="650">
        <f t="shared" si="2"/>
        <v>1.8346926342440856E-2</v>
      </c>
      <c r="M37" s="618">
        <f>'[4]PIB 2012, tres metodologías (M)'!AM34</f>
        <v>7.9089760256275926E-2</v>
      </c>
      <c r="N37" s="653">
        <f>G37*(1+M37)</f>
        <v>482.58267423234537</v>
      </c>
      <c r="O37" s="650">
        <f t="shared" si="0"/>
        <v>1.7399990495045807E-2</v>
      </c>
      <c r="P37" s="618">
        <f>'[4]PIB 2012, tres metodologías (M)'!AJ34</f>
        <v>-4.1643835616438363E-2</v>
      </c>
      <c r="Q37" s="653">
        <f>G37*(1+P37)</f>
        <v>428.58907359609759</v>
      </c>
      <c r="R37" s="650">
        <f t="shared" si="3"/>
        <v>1.6034705067120479E-2</v>
      </c>
      <c r="S37" s="638"/>
    </row>
    <row r="38" spans="2:19">
      <c r="B38" s="638"/>
      <c r="C38" s="670" t="s">
        <v>100</v>
      </c>
      <c r="D38" s="1089"/>
      <c r="E38" s="651">
        <f>'[4]2001-2011 Contraloría Historico'!N40</f>
        <v>527.37579948141763</v>
      </c>
      <c r="F38" s="1053">
        <f>E38/$E$42</f>
        <v>2.2661392474994636E-2</v>
      </c>
      <c r="G38" s="646">
        <f>'[4]Estimado de Impuestos Netos'!I86</f>
        <v>531.67579948141758</v>
      </c>
      <c r="H38" s="652"/>
      <c r="I38" s="623"/>
      <c r="J38" s="622">
        <f>'[4]PIB 2012, tres metodologías (M)'!AL35</f>
        <v>0.20588750165891945</v>
      </c>
      <c r="K38" s="653">
        <f>G38*(1+J38)</f>
        <v>641.1412015291553</v>
      </c>
      <c r="L38" s="629">
        <f t="shared" si="2"/>
        <v>2.247912375558888E-2</v>
      </c>
      <c r="M38" s="618">
        <f>'[4]PIB 2012, tres metodologías (M)'!AM35</f>
        <v>0.14299688986941511</v>
      </c>
      <c r="N38" s="653">
        <f>G38*(1+M38)</f>
        <v>607.70378522609508</v>
      </c>
      <c r="O38" s="629">
        <f t="shared" si="0"/>
        <v>2.1911354574752948E-2</v>
      </c>
      <c r="P38" s="618">
        <f>'[4]PIB 2012, tres metodologías (M)'!AJ35</f>
        <v>9.1734786557674974E-2</v>
      </c>
      <c r="Q38" s="653">
        <f>G38*(1+P38)</f>
        <v>580.4489654647266</v>
      </c>
      <c r="R38" s="629">
        <f t="shared" si="3"/>
        <v>2.1716204497815354E-2</v>
      </c>
      <c r="S38" s="638"/>
    </row>
    <row r="39" spans="2:19">
      <c r="B39" s="638"/>
      <c r="C39" s="670" t="s">
        <v>101</v>
      </c>
      <c r="D39" s="1089"/>
      <c r="E39" s="651">
        <f>'[4]2001-2011 Contraloría Historico'!N41</f>
        <v>834.697018150389</v>
      </c>
      <c r="F39" s="1053">
        <f>E39/$E$42</f>
        <v>3.5867016925338037E-2</v>
      </c>
      <c r="G39" s="646">
        <f>'[4]Estimado de Impuestos Netos'!I87</f>
        <v>834.697018150389</v>
      </c>
      <c r="H39" s="652"/>
      <c r="I39" s="623"/>
      <c r="J39" s="622">
        <f>'[4]PIB 2012, tres metodologías (M)'!AL36</f>
        <v>0.11384875707441178</v>
      </c>
      <c r="K39" s="653">
        <f>G39*(1+J39)</f>
        <v>929.72623620052855</v>
      </c>
      <c r="L39" s="629">
        <f t="shared" si="2"/>
        <v>3.2597236104189381E-2</v>
      </c>
      <c r="M39" s="618">
        <f>'[4]PIB 2012, tres metodologías (M)'!AM36</f>
        <v>7.6586793602265127E-2</v>
      </c>
      <c r="N39" s="653">
        <f>G39*(1+M39)</f>
        <v>898.6237863998989</v>
      </c>
      <c r="O39" s="629">
        <f t="shared" si="0"/>
        <v>3.2400759863277118E-2</v>
      </c>
      <c r="P39" s="618">
        <f>'[4]PIB 2012, tres metodologías (M)'!AJ36</f>
        <v>4.4923076923077065E-2</v>
      </c>
      <c r="Q39" s="653">
        <f>G39*(1+P39)</f>
        <v>872.19417650422201</v>
      </c>
      <c r="R39" s="629">
        <f t="shared" si="3"/>
        <v>3.2631201407353289E-2</v>
      </c>
      <c r="S39" s="638"/>
    </row>
    <row r="40" spans="2:19">
      <c r="B40" s="638"/>
      <c r="C40" s="670" t="s">
        <v>102</v>
      </c>
      <c r="D40" s="1089"/>
      <c r="E40" s="1065">
        <f>-'[4]2001-2011 Contraloría Historico'!N42</f>
        <v>-190.5855445116681</v>
      </c>
      <c r="F40" s="1053">
        <f>E40/$E$42</f>
        <v>-8.1894804966143511E-3</v>
      </c>
      <c r="G40" s="646">
        <f>'[4]Estimado de Impuestos Netos'!I88</f>
        <v>-190.5855445116681</v>
      </c>
      <c r="H40" s="652"/>
      <c r="I40" s="623"/>
      <c r="J40" s="622">
        <f>'[4]PIB 2012, tres metodologías (M)'!AL37</f>
        <v>5.6460889754257115E-2</v>
      </c>
      <c r="K40" s="653">
        <f>G40*(1+J40)</f>
        <v>-201.34617392909647</v>
      </c>
      <c r="L40" s="629">
        <f t="shared" si="2"/>
        <v>-7.0594208431333568E-3</v>
      </c>
      <c r="M40" s="618">
        <f>'[4]PIB 2012, tres metodologías (M)'!AM37</f>
        <v>0.1225194393721781</v>
      </c>
      <c r="N40" s="653">
        <f>G40*(1+M40)</f>
        <v>-213.93597857767895</v>
      </c>
      <c r="O40" s="629">
        <f t="shared" si="0"/>
        <v>-7.7136710299874987E-3</v>
      </c>
      <c r="P40" s="618">
        <f>'[4]PIB 2012, tres metodologías (M)'!AJ37</f>
        <v>-0.26235294117647057</v>
      </c>
      <c r="Q40" s="653">
        <f>G40*(1+P40)</f>
        <v>-140.58486636331284</v>
      </c>
      <c r="R40" s="629">
        <f t="shared" si="3"/>
        <v>-5.2596694780900101E-3</v>
      </c>
      <c r="S40" s="638"/>
    </row>
    <row r="41" spans="2:19" ht="13.5" thickBot="1">
      <c r="B41" s="638"/>
      <c r="C41" s="1224" t="s">
        <v>103</v>
      </c>
      <c r="D41" s="1225"/>
      <c r="E41" s="675">
        <f>SUM(E37:E40)</f>
        <v>1618.7000000000003</v>
      </c>
      <c r="F41" s="1053">
        <f>E41/$E$42</f>
        <v>6.9555705884388683E-2</v>
      </c>
      <c r="G41" s="1093">
        <f>'[4]PIB Estruc. Est. II Trim 2012'!L42</f>
        <v>1773.6155516338633</v>
      </c>
      <c r="H41" s="621">
        <f>'[4]PIB Estructural II TRIM 2005-12'!AR41</f>
        <v>0.11129008932369211</v>
      </c>
      <c r="I41" s="623">
        <f>(G41/E41)-1</f>
        <v>9.5703682976377991E-2</v>
      </c>
      <c r="J41" s="627"/>
      <c r="K41" s="676">
        <f>SUM(K37:K40)</f>
        <v>1892.8054686235118</v>
      </c>
      <c r="L41" s="623">
        <f t="shared" si="2"/>
        <v>6.6363865359085755E-2</v>
      </c>
      <c r="M41" s="622"/>
      <c r="N41" s="676">
        <f>SUM(N37:N40)</f>
        <v>1774.9742672806603</v>
      </c>
      <c r="O41" s="623">
        <f t="shared" si="0"/>
        <v>6.3998433903088375E-2</v>
      </c>
      <c r="P41" s="622"/>
      <c r="Q41" s="676">
        <f>SUM(Q37:Q40)</f>
        <v>1740.6473492017335</v>
      </c>
      <c r="R41" s="623">
        <f t="shared" si="3"/>
        <v>6.5122441494199115E-2</v>
      </c>
      <c r="S41" s="638"/>
    </row>
    <row r="42" spans="2:19" ht="13.5" thickBot="1">
      <c r="B42" s="638"/>
      <c r="C42" s="677" t="s">
        <v>104</v>
      </c>
      <c r="D42" s="678"/>
      <c r="E42" s="679">
        <f>+E41+E36+E28+E21+E16</f>
        <v>23271.994431204628</v>
      </c>
      <c r="F42" s="680"/>
      <c r="G42" s="681">
        <f>+G41+G36+G28+G21+G16</f>
        <v>25752.182326359442</v>
      </c>
      <c r="H42" s="682">
        <f>'[4]PIB Estructural II TRIM 2005-12'!AP42</f>
        <v>6.6272255108752898E-2</v>
      </c>
      <c r="I42" s="683">
        <f>(G42/E42)-1</f>
        <v>0.10657392955668699</v>
      </c>
      <c r="J42" s="684">
        <f>'[4]PIB 2012, tres metodologías (M)'!AL39</f>
        <v>0.1084928406872232</v>
      </c>
      <c r="K42" s="685">
        <f>+K41+K36+K28+K21+K16</f>
        <v>28521.627822336774</v>
      </c>
      <c r="L42" s="683">
        <f t="shared" si="2"/>
        <v>1</v>
      </c>
      <c r="M42" s="686"/>
      <c r="N42" s="685">
        <f>+N41+N36+N28+N21+N16</f>
        <v>27734.651600513702</v>
      </c>
      <c r="O42" s="683">
        <f t="shared" si="0"/>
        <v>1</v>
      </c>
      <c r="P42" s="686"/>
      <c r="Q42" s="685">
        <f>+Q41+Q36+Q28+Q21+Q16</f>
        <v>26728.840462112963</v>
      </c>
      <c r="R42" s="683">
        <f t="shared" si="3"/>
        <v>1</v>
      </c>
      <c r="S42" s="638"/>
    </row>
    <row r="43" spans="2:19" ht="13.5" thickBot="1">
      <c r="B43" s="638"/>
      <c r="C43" s="638"/>
      <c r="D43" s="641"/>
      <c r="E43" s="687"/>
      <c r="F43" s="688"/>
      <c r="G43" s="689">
        <f>+G41+G36+G28+G21+G16</f>
        <v>25752.182326359442</v>
      </c>
      <c r="H43" s="690"/>
      <c r="I43" s="690"/>
      <c r="J43" s="638"/>
      <c r="K43" s="638"/>
      <c r="L43" s="638"/>
      <c r="M43" s="638"/>
      <c r="N43" s="638"/>
      <c r="O43" s="638"/>
      <c r="P43" s="638"/>
      <c r="Q43" s="638"/>
      <c r="R43" s="638"/>
      <c r="S43" s="638"/>
    </row>
    <row r="44" spans="2:19">
      <c r="B44" s="638"/>
      <c r="C44" s="691" t="s">
        <v>414</v>
      </c>
      <c r="D44" s="641"/>
      <c r="E44" s="638"/>
      <c r="F44" s="638"/>
      <c r="G44" s="635">
        <f>G42/E42-1</f>
        <v>0.10657392955668699</v>
      </c>
      <c r="H44" s="692"/>
      <c r="I44" s="638"/>
      <c r="J44" s="638"/>
      <c r="K44" s="635">
        <f>(K42/G42)-1</f>
        <v>0.10754216714063025</v>
      </c>
      <c r="L44" s="692"/>
      <c r="M44" s="638"/>
      <c r="N44" s="635">
        <f>(N42/G42)-1</f>
        <v>7.698257371085182E-2</v>
      </c>
      <c r="O44" s="692"/>
      <c r="P44" s="638"/>
      <c r="Q44" s="635">
        <f>(Q42/G42)-1</f>
        <v>3.7925257105446697E-2</v>
      </c>
      <c r="R44" s="692"/>
      <c r="S44" s="638"/>
    </row>
    <row r="45" spans="2:19">
      <c r="B45" s="638"/>
      <c r="C45" s="691"/>
      <c r="D45" s="641"/>
      <c r="E45" s="638"/>
      <c r="F45" s="638"/>
      <c r="G45" s="635"/>
      <c r="H45" s="692"/>
      <c r="I45" s="638"/>
      <c r="J45" s="638"/>
      <c r="K45" s="635"/>
      <c r="L45" s="692"/>
      <c r="M45" s="638"/>
      <c r="N45" s="635"/>
      <c r="O45" s="692"/>
      <c r="P45" s="638"/>
      <c r="Q45" s="635"/>
      <c r="R45" s="692"/>
      <c r="S45" s="638"/>
    </row>
    <row r="46" spans="2:19">
      <c r="B46" s="638"/>
      <c r="C46" s="691" t="s">
        <v>629</v>
      </c>
      <c r="D46" s="641"/>
      <c r="E46" s="638"/>
      <c r="F46" s="638"/>
      <c r="G46" s="635"/>
      <c r="H46" s="692"/>
      <c r="I46" s="638"/>
      <c r="J46" s="638"/>
      <c r="K46" s="635"/>
      <c r="L46" s="692"/>
      <c r="M46" s="638"/>
      <c r="N46" s="635"/>
      <c r="O46" s="692"/>
      <c r="P46" s="638"/>
      <c r="Q46" s="635"/>
      <c r="R46" s="692"/>
      <c r="S46" s="638"/>
    </row>
    <row r="47" spans="2:19">
      <c r="B47" s="638"/>
      <c r="C47" s="638"/>
      <c r="D47" s="691"/>
      <c r="E47" s="638"/>
      <c r="F47" s="638"/>
      <c r="G47" s="635"/>
      <c r="H47" s="692"/>
      <c r="I47" s="638"/>
      <c r="J47" s="638"/>
      <c r="K47" s="635"/>
      <c r="L47" s="692"/>
      <c r="M47" s="638"/>
      <c r="N47" s="635"/>
      <c r="O47" s="692"/>
      <c r="P47" s="638"/>
      <c r="Q47" s="635"/>
      <c r="R47" s="692"/>
      <c r="S47" s="638"/>
    </row>
    <row r="48" spans="2:19">
      <c r="B48" s="693" t="s">
        <v>421</v>
      </c>
      <c r="C48" s="691" t="s">
        <v>630</v>
      </c>
      <c r="D48" s="641"/>
      <c r="E48" s="638"/>
      <c r="F48" s="638"/>
      <c r="G48" s="635"/>
      <c r="H48" s="692"/>
      <c r="I48" s="638"/>
      <c r="J48" s="638"/>
      <c r="K48" s="635"/>
      <c r="L48" s="692"/>
      <c r="M48" s="638"/>
      <c r="N48" s="635"/>
      <c r="O48" s="692"/>
      <c r="P48" s="638"/>
      <c r="Q48" s="635"/>
      <c r="R48" s="692"/>
      <c r="S48" s="638"/>
    </row>
    <row r="49" spans="2:19">
      <c r="B49" s="693" t="s">
        <v>422</v>
      </c>
      <c r="C49" s="691" t="s">
        <v>631</v>
      </c>
      <c r="D49" s="641"/>
      <c r="E49" s="638"/>
      <c r="F49" s="638"/>
      <c r="G49" s="635"/>
      <c r="H49" s="692"/>
      <c r="I49" s="638"/>
      <c r="J49" s="638"/>
      <c r="K49" s="635"/>
      <c r="L49" s="692"/>
      <c r="M49" s="638"/>
      <c r="N49" s="635"/>
      <c r="O49" s="692"/>
      <c r="P49" s="638"/>
      <c r="Q49" s="635"/>
      <c r="R49" s="692"/>
      <c r="S49" s="638"/>
    </row>
    <row r="50" spans="2:19">
      <c r="B50" s="693"/>
      <c r="C50" s="691" t="s">
        <v>632</v>
      </c>
      <c r="D50" s="641"/>
      <c r="E50" s="638"/>
      <c r="F50" s="638"/>
      <c r="G50" s="635"/>
      <c r="H50" s="692"/>
      <c r="I50" s="638"/>
      <c r="J50" s="638"/>
      <c r="K50" s="635"/>
      <c r="L50" s="692"/>
      <c r="M50" s="638"/>
      <c r="N50" s="635"/>
      <c r="O50" s="692"/>
      <c r="P50" s="638"/>
      <c r="Q50" s="635"/>
      <c r="R50" s="692"/>
      <c r="S50" s="638"/>
    </row>
    <row r="51" spans="2:19">
      <c r="B51" s="693" t="s">
        <v>423</v>
      </c>
      <c r="C51" s="691" t="s">
        <v>633</v>
      </c>
      <c r="D51" s="641"/>
      <c r="E51" s="638"/>
      <c r="F51" s="638"/>
      <c r="G51" s="635"/>
      <c r="H51" s="692"/>
      <c r="I51" s="638"/>
      <c r="J51" s="638"/>
      <c r="K51" s="635"/>
      <c r="L51" s="692"/>
      <c r="M51" s="638"/>
      <c r="N51" s="635"/>
      <c r="O51" s="692"/>
      <c r="P51" s="638"/>
      <c r="Q51" s="635"/>
      <c r="R51" s="692"/>
      <c r="S51" s="638"/>
    </row>
    <row r="52" spans="2:19">
      <c r="B52" s="638"/>
      <c r="C52" s="638"/>
      <c r="D52" s="641"/>
      <c r="E52" s="638"/>
      <c r="F52" s="638"/>
      <c r="G52" s="692"/>
      <c r="H52" s="638"/>
      <c r="I52" s="638"/>
      <c r="J52" s="638"/>
      <c r="K52" s="638"/>
      <c r="L52" s="638"/>
      <c r="M52" s="638"/>
      <c r="N52" s="638"/>
      <c r="O52" s="638"/>
      <c r="P52" s="638"/>
      <c r="Q52" s="638"/>
      <c r="R52" s="638"/>
      <c r="S52" s="638"/>
    </row>
    <row r="53" spans="2:19">
      <c r="B53" s="637" t="s">
        <v>149</v>
      </c>
      <c r="C53" s="637" t="s">
        <v>424</v>
      </c>
      <c r="D53" s="641"/>
      <c r="E53" s="638"/>
      <c r="F53" s="638"/>
      <c r="G53" s="638"/>
      <c r="H53" s="638"/>
      <c r="I53" s="638"/>
      <c r="J53" s="638"/>
      <c r="K53" s="638"/>
      <c r="L53" s="638"/>
      <c r="M53" s="638"/>
      <c r="N53" s="638"/>
      <c r="O53" s="638"/>
      <c r="P53" s="638"/>
      <c r="Q53" s="638"/>
      <c r="R53" s="638"/>
      <c r="S53" s="638"/>
    </row>
    <row r="56" spans="2:19">
      <c r="C56" s="238" t="s">
        <v>257</v>
      </c>
      <c r="G56" s="694">
        <f>$E37*(1+F37)</f>
        <v>455.80671411522945</v>
      </c>
      <c r="K56" s="694">
        <f>$G56*(1+J37)</f>
        <v>533.34004068451418</v>
      </c>
      <c r="N56" s="694">
        <f>$E37*(1+M37)</f>
        <v>482.58267423234537</v>
      </c>
      <c r="Q56" s="694">
        <f>$E37*(1+P37)</f>
        <v>428.58907359609759</v>
      </c>
    </row>
    <row r="57" spans="2:19">
      <c r="C57" s="238" t="s">
        <v>100</v>
      </c>
      <c r="G57" s="694">
        <f>$E38*(1+F38)</f>
        <v>539.32686945528008</v>
      </c>
      <c r="K57" s="694">
        <f>$E38*(1+J38)</f>
        <v>635.95588527202199</v>
      </c>
      <c r="N57" s="694">
        <f>$E38*(1+M38)</f>
        <v>602.7888985996567</v>
      </c>
      <c r="Q57" s="694">
        <f>$E38*(1+P38)</f>
        <v>575.75450588252863</v>
      </c>
    </row>
    <row r="58" spans="2:19">
      <c r="C58" s="238" t="s">
        <v>101</v>
      </c>
      <c r="G58" s="694">
        <f>$E39*(1+F39)</f>
        <v>864.63511022791829</v>
      </c>
      <c r="K58" s="694">
        <f>$E39*(1+J39)</f>
        <v>929.72623620052855</v>
      </c>
      <c r="N58" s="694">
        <f>$E39*(1+M39)</f>
        <v>898.6237863998989</v>
      </c>
      <c r="Q58" s="694">
        <f>$E39*(1+P39)</f>
        <v>872.19417650422201</v>
      </c>
    </row>
    <row r="59" spans="2:19" ht="15">
      <c r="C59" s="238" t="s">
        <v>102</v>
      </c>
      <c r="G59" s="695">
        <f>$E40*(1+F40)</f>
        <v>-189.02474791195317</v>
      </c>
      <c r="K59" s="695">
        <f>$E40*(1+J40)</f>
        <v>-201.34617392909647</v>
      </c>
      <c r="N59" s="695">
        <f>$E40*(1+M40)</f>
        <v>-213.93597857767895</v>
      </c>
      <c r="Q59" s="695">
        <f>$E40*(1+P40)</f>
        <v>-140.58486636331284</v>
      </c>
    </row>
    <row r="60" spans="2:19">
      <c r="C60" s="238" t="s">
        <v>103</v>
      </c>
      <c r="G60" s="694">
        <f>SUM(G56:G59)</f>
        <v>1670.7439458864744</v>
      </c>
      <c r="K60" s="694">
        <f>SUM(K56:K59)</f>
        <v>1897.675988227968</v>
      </c>
      <c r="N60" s="694">
        <f>SUM(N56:N59)</f>
        <v>1770.0593806542222</v>
      </c>
      <c r="Q60" s="694">
        <f>SUM(Q56:Q59)</f>
        <v>1735.9528896195354</v>
      </c>
    </row>
    <row r="62" spans="2:19">
      <c r="C62" s="238" t="s">
        <v>425</v>
      </c>
    </row>
    <row r="63" spans="2:19">
      <c r="C63" s="238" t="s">
        <v>257</v>
      </c>
      <c r="G63" s="694">
        <f>$G$41*'[4]Estimado de Impuestos Netos'!N27</f>
        <v>546.85957795699949</v>
      </c>
      <c r="K63" s="694">
        <f>$K$41*'[4]Estimado de Impuestos Netos'!N27</f>
        <v>583.60945176231462</v>
      </c>
      <c r="N63" s="694">
        <f>$N$41*'[4]Estimado de Impuestos Netos'!N27</f>
        <v>547.27851128473583</v>
      </c>
      <c r="Q63" s="694">
        <f>$Q$41*'[4]Estimado de Impuestos Netos'!N27</f>
        <v>536.69447918380308</v>
      </c>
    </row>
    <row r="64" spans="2:19">
      <c r="C64" s="238" t="s">
        <v>100</v>
      </c>
      <c r="G64" s="694">
        <f>$G$41*'[4]Estimado de Impuestos Netos'!N28</f>
        <v>473.29804342929776</v>
      </c>
      <c r="K64" s="694">
        <f>$K$41*'[4]Estimado de Impuestos Netos'!N28</f>
        <v>505.1044596820949</v>
      </c>
      <c r="N64" s="694">
        <f>$N$41*'[4]Estimado de Impuestos Netos'!N28</f>
        <v>473.66062339010909</v>
      </c>
      <c r="Q64" s="694">
        <f>$Q$41*'[4]Estimado de Impuestos Netos'!N28</f>
        <v>464.50031627127089</v>
      </c>
    </row>
    <row r="65" spans="3:17">
      <c r="C65" s="238" t="s">
        <v>101</v>
      </c>
      <c r="G65" s="694">
        <f>$G$41*'[4]Estimado de Impuestos Netos'!N29</f>
        <v>1000.9064112864945</v>
      </c>
      <c r="K65" s="694">
        <f>$K$41*'[4]Estimado de Impuestos Netos'!N29</f>
        <v>1068.1689879851181</v>
      </c>
      <c r="N65" s="694">
        <f>$N$41*'[4]Estimado de Impuestos Netos'!N29</f>
        <v>1001.6731767790171</v>
      </c>
      <c r="Q65" s="694">
        <f>$Q$41*'[4]Estimado de Impuestos Netos'!N29</f>
        <v>982.30142941626241</v>
      </c>
    </row>
    <row r="66" spans="3:17" ht="15">
      <c r="C66" s="238" t="s">
        <v>102</v>
      </c>
      <c r="G66" s="695">
        <f>$G$41*'[4]Estimado de Impuestos Netos'!N30</f>
        <v>-247.44848103892849</v>
      </c>
      <c r="K66" s="695">
        <f>$K$41*'[4]Estimado de Impuestos Netos'!N30</f>
        <v>-264.07743080601585</v>
      </c>
      <c r="N66" s="695">
        <f>$N$41*'[4]Estimado de Impuestos Netos'!N30</f>
        <v>-247.63804417320188</v>
      </c>
      <c r="Q66" s="695">
        <f>$Q$41*'[4]Estimado de Impuestos Netos'!N30</f>
        <v>-242.84887566960293</v>
      </c>
    </row>
    <row r="67" spans="3:17">
      <c r="C67" s="238" t="s">
        <v>103</v>
      </c>
      <c r="G67" s="694">
        <f>SUM(G63:G66)</f>
        <v>1773.6155516338631</v>
      </c>
      <c r="K67" s="694">
        <f>SUM(K63:K66)</f>
        <v>1892.8054686235114</v>
      </c>
      <c r="N67" s="694">
        <f>SUM(N63:N66)</f>
        <v>1774.9742672806601</v>
      </c>
      <c r="Q67" s="694">
        <f>SUM(Q63:Q66)</f>
        <v>1740.6473492017335</v>
      </c>
    </row>
  </sheetData>
  <mergeCells count="46">
    <mergeCell ref="C41:D41"/>
    <mergeCell ref="C24:D24"/>
    <mergeCell ref="C25:D25"/>
    <mergeCell ref="C26:D26"/>
    <mergeCell ref="C27:D27"/>
    <mergeCell ref="C28:D28"/>
    <mergeCell ref="C29:D29"/>
    <mergeCell ref="C30:D30"/>
    <mergeCell ref="C31:D31"/>
    <mergeCell ref="C32:D32"/>
    <mergeCell ref="C33:D33"/>
    <mergeCell ref="C36:D36"/>
    <mergeCell ref="C18:D18"/>
    <mergeCell ref="C19:D19"/>
    <mergeCell ref="C20:D20"/>
    <mergeCell ref="C21:D21"/>
    <mergeCell ref="C22:D22"/>
    <mergeCell ref="C23:D23"/>
    <mergeCell ref="R11:R12"/>
    <mergeCell ref="C13:D13"/>
    <mergeCell ref="C14:D14"/>
    <mergeCell ref="C15:D15"/>
    <mergeCell ref="C16:D16"/>
    <mergeCell ref="C17:D17"/>
    <mergeCell ref="L11:L12"/>
    <mergeCell ref="M11:M12"/>
    <mergeCell ref="N11:N12"/>
    <mergeCell ref="O11:O12"/>
    <mergeCell ref="P11:P12"/>
    <mergeCell ref="Q11:Q12"/>
    <mergeCell ref="F11:F12"/>
    <mergeCell ref="G11:G12"/>
    <mergeCell ref="H11:H12"/>
    <mergeCell ref="I11:I12"/>
    <mergeCell ref="J11:J12"/>
    <mergeCell ref="K11:K12"/>
    <mergeCell ref="C2:R2"/>
    <mergeCell ref="C3:R3"/>
    <mergeCell ref="C4:R4"/>
    <mergeCell ref="C8:D12"/>
    <mergeCell ref="E8:I9"/>
    <mergeCell ref="J8:R8"/>
    <mergeCell ref="J9:L9"/>
    <mergeCell ref="M9:O9"/>
    <mergeCell ref="P9:R9"/>
    <mergeCell ref="E11:E12"/>
  </mergeCells>
  <printOptions horizontalCentered="1"/>
  <pageMargins left="0.39370078740157483" right="0.39370078740157483" top="0.98425196850393704" bottom="0.78740157480314965" header="0.59055118110236227" footer="0.39370078740157483"/>
  <pageSetup scale="56" orientation="landscape" r:id="rId1"/>
  <headerFooter alignWithMargins="0">
    <oddFooter>&amp;L&amp;8ESTUDIO BASICO DE LA DEMANDA 2008-2022 CCB
&amp;D &amp;T&amp;R&amp;8&amp;F/  &amp;A</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2:S66"/>
  <sheetViews>
    <sheetView showGridLines="0" topLeftCell="A28" workbookViewId="0">
      <selection activeCell="D3" sqref="D3"/>
    </sheetView>
  </sheetViews>
  <sheetFormatPr baseColWidth="10" defaultRowHeight="12.75"/>
  <cols>
    <col min="1" max="1" width="11.42578125" style="238"/>
    <col min="2" max="2" width="1.7109375" style="238" customWidth="1"/>
    <col min="3" max="3" width="15.28515625" style="238" customWidth="1"/>
    <col min="4" max="4" width="11.42578125" style="238" customWidth="1"/>
    <col min="5" max="5" width="12.42578125" style="238" hidden="1" customWidth="1"/>
    <col min="6" max="6" width="13.5703125" style="238" hidden="1" customWidth="1"/>
    <col min="7" max="7" width="11.42578125" style="238" hidden="1" customWidth="1"/>
    <col min="8" max="8" width="12.7109375" style="238" hidden="1" customWidth="1"/>
    <col min="9" max="11" width="12.140625" style="238" hidden="1" customWidth="1"/>
    <col min="12" max="12" width="13.28515625" style="238" customWidth="1"/>
    <col min="13" max="13" width="12.42578125" style="238" customWidth="1"/>
    <col min="14" max="14" width="11.85546875" style="238" customWidth="1"/>
    <col min="15" max="16" width="11.42578125" style="238"/>
    <col min="17" max="17" width="11.7109375" style="238" customWidth="1"/>
    <col min="18" max="19" width="1.7109375" style="238" customWidth="1"/>
    <col min="20" max="257" width="11.42578125" style="238"/>
    <col min="258" max="258" width="1.7109375" style="238" customWidth="1"/>
    <col min="259" max="259" width="15.28515625" style="238" customWidth="1"/>
    <col min="260" max="260" width="11.42578125" style="238" customWidth="1"/>
    <col min="261" max="267" width="0" style="238" hidden="1" customWidth="1"/>
    <col min="268" max="268" width="13.28515625" style="238" customWidth="1"/>
    <col min="269" max="269" width="12.42578125" style="238" customWidth="1"/>
    <col min="270" max="270" width="11.85546875" style="238" customWidth="1"/>
    <col min="271" max="272" width="11.42578125" style="238"/>
    <col min="273" max="273" width="11.7109375" style="238" customWidth="1"/>
    <col min="274" max="275" width="1.7109375" style="238" customWidth="1"/>
    <col min="276" max="513" width="11.42578125" style="238"/>
    <col min="514" max="514" width="1.7109375" style="238" customWidth="1"/>
    <col min="515" max="515" width="15.28515625" style="238" customWidth="1"/>
    <col min="516" max="516" width="11.42578125" style="238" customWidth="1"/>
    <col min="517" max="523" width="0" style="238" hidden="1" customWidth="1"/>
    <col min="524" max="524" width="13.28515625" style="238" customWidth="1"/>
    <col min="525" max="525" width="12.42578125" style="238" customWidth="1"/>
    <col min="526" max="526" width="11.85546875" style="238" customWidth="1"/>
    <col min="527" max="528" width="11.42578125" style="238"/>
    <col min="529" max="529" width="11.7109375" style="238" customWidth="1"/>
    <col min="530" max="531" width="1.7109375" style="238" customWidth="1"/>
    <col min="532" max="769" width="11.42578125" style="238"/>
    <col min="770" max="770" width="1.7109375" style="238" customWidth="1"/>
    <col min="771" max="771" width="15.28515625" style="238" customWidth="1"/>
    <col min="772" max="772" width="11.42578125" style="238" customWidth="1"/>
    <col min="773" max="779" width="0" style="238" hidden="1" customWidth="1"/>
    <col min="780" max="780" width="13.28515625" style="238" customWidth="1"/>
    <col min="781" max="781" width="12.42578125" style="238" customWidth="1"/>
    <col min="782" max="782" width="11.85546875" style="238" customWidth="1"/>
    <col min="783" max="784" width="11.42578125" style="238"/>
    <col min="785" max="785" width="11.7109375" style="238" customWidth="1"/>
    <col min="786" max="787" width="1.7109375" style="238" customWidth="1"/>
    <col min="788" max="1025" width="11.42578125" style="238"/>
    <col min="1026" max="1026" width="1.7109375" style="238" customWidth="1"/>
    <col min="1027" max="1027" width="15.28515625" style="238" customWidth="1"/>
    <col min="1028" max="1028" width="11.42578125" style="238" customWidth="1"/>
    <col min="1029" max="1035" width="0" style="238" hidden="1" customWidth="1"/>
    <col min="1036" max="1036" width="13.28515625" style="238" customWidth="1"/>
    <col min="1037" max="1037" width="12.42578125" style="238" customWidth="1"/>
    <col min="1038" max="1038" width="11.85546875" style="238" customWidth="1"/>
    <col min="1039" max="1040" width="11.42578125" style="238"/>
    <col min="1041" max="1041" width="11.7109375" style="238" customWidth="1"/>
    <col min="1042" max="1043" width="1.7109375" style="238" customWidth="1"/>
    <col min="1044" max="1281" width="11.42578125" style="238"/>
    <col min="1282" max="1282" width="1.7109375" style="238" customWidth="1"/>
    <col min="1283" max="1283" width="15.28515625" style="238" customWidth="1"/>
    <col min="1284" max="1284" width="11.42578125" style="238" customWidth="1"/>
    <col min="1285" max="1291" width="0" style="238" hidden="1" customWidth="1"/>
    <col min="1292" max="1292" width="13.28515625" style="238" customWidth="1"/>
    <col min="1293" max="1293" width="12.42578125" style="238" customWidth="1"/>
    <col min="1294" max="1294" width="11.85546875" style="238" customWidth="1"/>
    <col min="1295" max="1296" width="11.42578125" style="238"/>
    <col min="1297" max="1297" width="11.7109375" style="238" customWidth="1"/>
    <col min="1298" max="1299" width="1.7109375" style="238" customWidth="1"/>
    <col min="1300" max="1537" width="11.42578125" style="238"/>
    <col min="1538" max="1538" width="1.7109375" style="238" customWidth="1"/>
    <col min="1539" max="1539" width="15.28515625" style="238" customWidth="1"/>
    <col min="1540" max="1540" width="11.42578125" style="238" customWidth="1"/>
    <col min="1541" max="1547" width="0" style="238" hidden="1" customWidth="1"/>
    <col min="1548" max="1548" width="13.28515625" style="238" customWidth="1"/>
    <col min="1549" max="1549" width="12.42578125" style="238" customWidth="1"/>
    <col min="1550" max="1550" width="11.85546875" style="238" customWidth="1"/>
    <col min="1551" max="1552" width="11.42578125" style="238"/>
    <col min="1553" max="1553" width="11.7109375" style="238" customWidth="1"/>
    <col min="1554" max="1555" width="1.7109375" style="238" customWidth="1"/>
    <col min="1556" max="1793" width="11.42578125" style="238"/>
    <col min="1794" max="1794" width="1.7109375" style="238" customWidth="1"/>
    <col min="1795" max="1795" width="15.28515625" style="238" customWidth="1"/>
    <col min="1796" max="1796" width="11.42578125" style="238" customWidth="1"/>
    <col min="1797" max="1803" width="0" style="238" hidden="1" customWidth="1"/>
    <col min="1804" max="1804" width="13.28515625" style="238" customWidth="1"/>
    <col min="1805" max="1805" width="12.42578125" style="238" customWidth="1"/>
    <col min="1806" max="1806" width="11.85546875" style="238" customWidth="1"/>
    <col min="1807" max="1808" width="11.42578125" style="238"/>
    <col min="1809" max="1809" width="11.7109375" style="238" customWidth="1"/>
    <col min="1810" max="1811" width="1.7109375" style="238" customWidth="1"/>
    <col min="1812" max="2049" width="11.42578125" style="238"/>
    <col min="2050" max="2050" width="1.7109375" style="238" customWidth="1"/>
    <col min="2051" max="2051" width="15.28515625" style="238" customWidth="1"/>
    <col min="2052" max="2052" width="11.42578125" style="238" customWidth="1"/>
    <col min="2053" max="2059" width="0" style="238" hidden="1" customWidth="1"/>
    <col min="2060" max="2060" width="13.28515625" style="238" customWidth="1"/>
    <col min="2061" max="2061" width="12.42578125" style="238" customWidth="1"/>
    <col min="2062" max="2062" width="11.85546875" style="238" customWidth="1"/>
    <col min="2063" max="2064" width="11.42578125" style="238"/>
    <col min="2065" max="2065" width="11.7109375" style="238" customWidth="1"/>
    <col min="2066" max="2067" width="1.7109375" style="238" customWidth="1"/>
    <col min="2068" max="2305" width="11.42578125" style="238"/>
    <col min="2306" max="2306" width="1.7109375" style="238" customWidth="1"/>
    <col min="2307" max="2307" width="15.28515625" style="238" customWidth="1"/>
    <col min="2308" max="2308" width="11.42578125" style="238" customWidth="1"/>
    <col min="2309" max="2315" width="0" style="238" hidden="1" customWidth="1"/>
    <col min="2316" max="2316" width="13.28515625" style="238" customWidth="1"/>
    <col min="2317" max="2317" width="12.42578125" style="238" customWidth="1"/>
    <col min="2318" max="2318" width="11.85546875" style="238" customWidth="1"/>
    <col min="2319" max="2320" width="11.42578125" style="238"/>
    <col min="2321" max="2321" width="11.7109375" style="238" customWidth="1"/>
    <col min="2322" max="2323" width="1.7109375" style="238" customWidth="1"/>
    <col min="2324" max="2561" width="11.42578125" style="238"/>
    <col min="2562" max="2562" width="1.7109375" style="238" customWidth="1"/>
    <col min="2563" max="2563" width="15.28515625" style="238" customWidth="1"/>
    <col min="2564" max="2564" width="11.42578125" style="238" customWidth="1"/>
    <col min="2565" max="2571" width="0" style="238" hidden="1" customWidth="1"/>
    <col min="2572" max="2572" width="13.28515625" style="238" customWidth="1"/>
    <col min="2573" max="2573" width="12.42578125" style="238" customWidth="1"/>
    <col min="2574" max="2574" width="11.85546875" style="238" customWidth="1"/>
    <col min="2575" max="2576" width="11.42578125" style="238"/>
    <col min="2577" max="2577" width="11.7109375" style="238" customWidth="1"/>
    <col min="2578" max="2579" width="1.7109375" style="238" customWidth="1"/>
    <col min="2580" max="2817" width="11.42578125" style="238"/>
    <col min="2818" max="2818" width="1.7109375" style="238" customWidth="1"/>
    <col min="2819" max="2819" width="15.28515625" style="238" customWidth="1"/>
    <col min="2820" max="2820" width="11.42578125" style="238" customWidth="1"/>
    <col min="2821" max="2827" width="0" style="238" hidden="1" customWidth="1"/>
    <col min="2828" max="2828" width="13.28515625" style="238" customWidth="1"/>
    <col min="2829" max="2829" width="12.42578125" style="238" customWidth="1"/>
    <col min="2830" max="2830" width="11.85546875" style="238" customWidth="1"/>
    <col min="2831" max="2832" width="11.42578125" style="238"/>
    <col min="2833" max="2833" width="11.7109375" style="238" customWidth="1"/>
    <col min="2834" max="2835" width="1.7109375" style="238" customWidth="1"/>
    <col min="2836" max="3073" width="11.42578125" style="238"/>
    <col min="3074" max="3074" width="1.7109375" style="238" customWidth="1"/>
    <col min="3075" max="3075" width="15.28515625" style="238" customWidth="1"/>
    <col min="3076" max="3076" width="11.42578125" style="238" customWidth="1"/>
    <col min="3077" max="3083" width="0" style="238" hidden="1" customWidth="1"/>
    <col min="3084" max="3084" width="13.28515625" style="238" customWidth="1"/>
    <col min="3085" max="3085" width="12.42578125" style="238" customWidth="1"/>
    <col min="3086" max="3086" width="11.85546875" style="238" customWidth="1"/>
    <col min="3087" max="3088" width="11.42578125" style="238"/>
    <col min="3089" max="3089" width="11.7109375" style="238" customWidth="1"/>
    <col min="3090" max="3091" width="1.7109375" style="238" customWidth="1"/>
    <col min="3092" max="3329" width="11.42578125" style="238"/>
    <col min="3330" max="3330" width="1.7109375" style="238" customWidth="1"/>
    <col min="3331" max="3331" width="15.28515625" style="238" customWidth="1"/>
    <col min="3332" max="3332" width="11.42578125" style="238" customWidth="1"/>
    <col min="3333" max="3339" width="0" style="238" hidden="1" customWidth="1"/>
    <col min="3340" max="3340" width="13.28515625" style="238" customWidth="1"/>
    <col min="3341" max="3341" width="12.42578125" style="238" customWidth="1"/>
    <col min="3342" max="3342" width="11.85546875" style="238" customWidth="1"/>
    <col min="3343" max="3344" width="11.42578125" style="238"/>
    <col min="3345" max="3345" width="11.7109375" style="238" customWidth="1"/>
    <col min="3346" max="3347" width="1.7109375" style="238" customWidth="1"/>
    <col min="3348" max="3585" width="11.42578125" style="238"/>
    <col min="3586" max="3586" width="1.7109375" style="238" customWidth="1"/>
    <col min="3587" max="3587" width="15.28515625" style="238" customWidth="1"/>
    <col min="3588" max="3588" width="11.42578125" style="238" customWidth="1"/>
    <col min="3589" max="3595" width="0" style="238" hidden="1" customWidth="1"/>
    <col min="3596" max="3596" width="13.28515625" style="238" customWidth="1"/>
    <col min="3597" max="3597" width="12.42578125" style="238" customWidth="1"/>
    <col min="3598" max="3598" width="11.85546875" style="238" customWidth="1"/>
    <col min="3599" max="3600" width="11.42578125" style="238"/>
    <col min="3601" max="3601" width="11.7109375" style="238" customWidth="1"/>
    <col min="3602" max="3603" width="1.7109375" style="238" customWidth="1"/>
    <col min="3604" max="3841" width="11.42578125" style="238"/>
    <col min="3842" max="3842" width="1.7109375" style="238" customWidth="1"/>
    <col min="3843" max="3843" width="15.28515625" style="238" customWidth="1"/>
    <col min="3844" max="3844" width="11.42578125" style="238" customWidth="1"/>
    <col min="3845" max="3851" width="0" style="238" hidden="1" customWidth="1"/>
    <col min="3852" max="3852" width="13.28515625" style="238" customWidth="1"/>
    <col min="3853" max="3853" width="12.42578125" style="238" customWidth="1"/>
    <col min="3854" max="3854" width="11.85546875" style="238" customWidth="1"/>
    <col min="3855" max="3856" width="11.42578125" style="238"/>
    <col min="3857" max="3857" width="11.7109375" style="238" customWidth="1"/>
    <col min="3858" max="3859" width="1.7109375" style="238" customWidth="1"/>
    <col min="3860" max="4097" width="11.42578125" style="238"/>
    <col min="4098" max="4098" width="1.7109375" style="238" customWidth="1"/>
    <col min="4099" max="4099" width="15.28515625" style="238" customWidth="1"/>
    <col min="4100" max="4100" width="11.42578125" style="238" customWidth="1"/>
    <col min="4101" max="4107" width="0" style="238" hidden="1" customWidth="1"/>
    <col min="4108" max="4108" width="13.28515625" style="238" customWidth="1"/>
    <col min="4109" max="4109" width="12.42578125" style="238" customWidth="1"/>
    <col min="4110" max="4110" width="11.85546875" style="238" customWidth="1"/>
    <col min="4111" max="4112" width="11.42578125" style="238"/>
    <col min="4113" max="4113" width="11.7109375" style="238" customWidth="1"/>
    <col min="4114" max="4115" width="1.7109375" style="238" customWidth="1"/>
    <col min="4116" max="4353" width="11.42578125" style="238"/>
    <col min="4354" max="4354" width="1.7109375" style="238" customWidth="1"/>
    <col min="4355" max="4355" width="15.28515625" style="238" customWidth="1"/>
    <col min="4356" max="4356" width="11.42578125" style="238" customWidth="1"/>
    <col min="4357" max="4363" width="0" style="238" hidden="1" customWidth="1"/>
    <col min="4364" max="4364" width="13.28515625" style="238" customWidth="1"/>
    <col min="4365" max="4365" width="12.42578125" style="238" customWidth="1"/>
    <col min="4366" max="4366" width="11.85546875" style="238" customWidth="1"/>
    <col min="4367" max="4368" width="11.42578125" style="238"/>
    <col min="4369" max="4369" width="11.7109375" style="238" customWidth="1"/>
    <col min="4370" max="4371" width="1.7109375" style="238" customWidth="1"/>
    <col min="4372" max="4609" width="11.42578125" style="238"/>
    <col min="4610" max="4610" width="1.7109375" style="238" customWidth="1"/>
    <col min="4611" max="4611" width="15.28515625" style="238" customWidth="1"/>
    <col min="4612" max="4612" width="11.42578125" style="238" customWidth="1"/>
    <col min="4613" max="4619" width="0" style="238" hidden="1" customWidth="1"/>
    <col min="4620" max="4620" width="13.28515625" style="238" customWidth="1"/>
    <col min="4621" max="4621" width="12.42578125" style="238" customWidth="1"/>
    <col min="4622" max="4622" width="11.85546875" style="238" customWidth="1"/>
    <col min="4623" max="4624" width="11.42578125" style="238"/>
    <col min="4625" max="4625" width="11.7109375" style="238" customWidth="1"/>
    <col min="4626" max="4627" width="1.7109375" style="238" customWidth="1"/>
    <col min="4628" max="4865" width="11.42578125" style="238"/>
    <col min="4866" max="4866" width="1.7109375" style="238" customWidth="1"/>
    <col min="4867" max="4867" width="15.28515625" style="238" customWidth="1"/>
    <col min="4868" max="4868" width="11.42578125" style="238" customWidth="1"/>
    <col min="4869" max="4875" width="0" style="238" hidden="1" customWidth="1"/>
    <col min="4876" max="4876" width="13.28515625" style="238" customWidth="1"/>
    <col min="4877" max="4877" width="12.42578125" style="238" customWidth="1"/>
    <col min="4878" max="4878" width="11.85546875" style="238" customWidth="1"/>
    <col min="4879" max="4880" width="11.42578125" style="238"/>
    <col min="4881" max="4881" width="11.7109375" style="238" customWidth="1"/>
    <col min="4882" max="4883" width="1.7109375" style="238" customWidth="1"/>
    <col min="4884" max="5121" width="11.42578125" style="238"/>
    <col min="5122" max="5122" width="1.7109375" style="238" customWidth="1"/>
    <col min="5123" max="5123" width="15.28515625" style="238" customWidth="1"/>
    <col min="5124" max="5124" width="11.42578125" style="238" customWidth="1"/>
    <col min="5125" max="5131" width="0" style="238" hidden="1" customWidth="1"/>
    <col min="5132" max="5132" width="13.28515625" style="238" customWidth="1"/>
    <col min="5133" max="5133" width="12.42578125" style="238" customWidth="1"/>
    <col min="5134" max="5134" width="11.85546875" style="238" customWidth="1"/>
    <col min="5135" max="5136" width="11.42578125" style="238"/>
    <col min="5137" max="5137" width="11.7109375" style="238" customWidth="1"/>
    <col min="5138" max="5139" width="1.7109375" style="238" customWidth="1"/>
    <col min="5140" max="5377" width="11.42578125" style="238"/>
    <col min="5378" max="5378" width="1.7109375" style="238" customWidth="1"/>
    <col min="5379" max="5379" width="15.28515625" style="238" customWidth="1"/>
    <col min="5380" max="5380" width="11.42578125" style="238" customWidth="1"/>
    <col min="5381" max="5387" width="0" style="238" hidden="1" customWidth="1"/>
    <col min="5388" max="5388" width="13.28515625" style="238" customWidth="1"/>
    <col min="5389" max="5389" width="12.42578125" style="238" customWidth="1"/>
    <col min="5390" max="5390" width="11.85546875" style="238" customWidth="1"/>
    <col min="5391" max="5392" width="11.42578125" style="238"/>
    <col min="5393" max="5393" width="11.7109375" style="238" customWidth="1"/>
    <col min="5394" max="5395" width="1.7109375" style="238" customWidth="1"/>
    <col min="5396" max="5633" width="11.42578125" style="238"/>
    <col min="5634" max="5634" width="1.7109375" style="238" customWidth="1"/>
    <col min="5635" max="5635" width="15.28515625" style="238" customWidth="1"/>
    <col min="5636" max="5636" width="11.42578125" style="238" customWidth="1"/>
    <col min="5637" max="5643" width="0" style="238" hidden="1" customWidth="1"/>
    <col min="5644" max="5644" width="13.28515625" style="238" customWidth="1"/>
    <col min="5645" max="5645" width="12.42578125" style="238" customWidth="1"/>
    <col min="5646" max="5646" width="11.85546875" style="238" customWidth="1"/>
    <col min="5647" max="5648" width="11.42578125" style="238"/>
    <col min="5649" max="5649" width="11.7109375" style="238" customWidth="1"/>
    <col min="5650" max="5651" width="1.7109375" style="238" customWidth="1"/>
    <col min="5652" max="5889" width="11.42578125" style="238"/>
    <col min="5890" max="5890" width="1.7109375" style="238" customWidth="1"/>
    <col min="5891" max="5891" width="15.28515625" style="238" customWidth="1"/>
    <col min="5892" max="5892" width="11.42578125" style="238" customWidth="1"/>
    <col min="5893" max="5899" width="0" style="238" hidden="1" customWidth="1"/>
    <col min="5900" max="5900" width="13.28515625" style="238" customWidth="1"/>
    <col min="5901" max="5901" width="12.42578125" style="238" customWidth="1"/>
    <col min="5902" max="5902" width="11.85546875" style="238" customWidth="1"/>
    <col min="5903" max="5904" width="11.42578125" style="238"/>
    <col min="5905" max="5905" width="11.7109375" style="238" customWidth="1"/>
    <col min="5906" max="5907" width="1.7109375" style="238" customWidth="1"/>
    <col min="5908" max="6145" width="11.42578125" style="238"/>
    <col min="6146" max="6146" width="1.7109375" style="238" customWidth="1"/>
    <col min="6147" max="6147" width="15.28515625" style="238" customWidth="1"/>
    <col min="6148" max="6148" width="11.42578125" style="238" customWidth="1"/>
    <col min="6149" max="6155" width="0" style="238" hidden="1" customWidth="1"/>
    <col min="6156" max="6156" width="13.28515625" style="238" customWidth="1"/>
    <col min="6157" max="6157" width="12.42578125" style="238" customWidth="1"/>
    <col min="6158" max="6158" width="11.85546875" style="238" customWidth="1"/>
    <col min="6159" max="6160" width="11.42578125" style="238"/>
    <col min="6161" max="6161" width="11.7109375" style="238" customWidth="1"/>
    <col min="6162" max="6163" width="1.7109375" style="238" customWidth="1"/>
    <col min="6164" max="6401" width="11.42578125" style="238"/>
    <col min="6402" max="6402" width="1.7109375" style="238" customWidth="1"/>
    <col min="6403" max="6403" width="15.28515625" style="238" customWidth="1"/>
    <col min="6404" max="6404" width="11.42578125" style="238" customWidth="1"/>
    <col min="6405" max="6411" width="0" style="238" hidden="1" customWidth="1"/>
    <col min="6412" max="6412" width="13.28515625" style="238" customWidth="1"/>
    <col min="6413" max="6413" width="12.42578125" style="238" customWidth="1"/>
    <col min="6414" max="6414" width="11.85546875" style="238" customWidth="1"/>
    <col min="6415" max="6416" width="11.42578125" style="238"/>
    <col min="6417" max="6417" width="11.7109375" style="238" customWidth="1"/>
    <col min="6418" max="6419" width="1.7109375" style="238" customWidth="1"/>
    <col min="6420" max="6657" width="11.42578125" style="238"/>
    <col min="6658" max="6658" width="1.7109375" style="238" customWidth="1"/>
    <col min="6659" max="6659" width="15.28515625" style="238" customWidth="1"/>
    <col min="6660" max="6660" width="11.42578125" style="238" customWidth="1"/>
    <col min="6661" max="6667" width="0" style="238" hidden="1" customWidth="1"/>
    <col min="6668" max="6668" width="13.28515625" style="238" customWidth="1"/>
    <col min="6669" max="6669" width="12.42578125" style="238" customWidth="1"/>
    <col min="6670" max="6670" width="11.85546875" style="238" customWidth="1"/>
    <col min="6671" max="6672" width="11.42578125" style="238"/>
    <col min="6673" max="6673" width="11.7109375" style="238" customWidth="1"/>
    <col min="6674" max="6675" width="1.7109375" style="238" customWidth="1"/>
    <col min="6676" max="6913" width="11.42578125" style="238"/>
    <col min="6914" max="6914" width="1.7109375" style="238" customWidth="1"/>
    <col min="6915" max="6915" width="15.28515625" style="238" customWidth="1"/>
    <col min="6916" max="6916" width="11.42578125" style="238" customWidth="1"/>
    <col min="6917" max="6923" width="0" style="238" hidden="1" customWidth="1"/>
    <col min="6924" max="6924" width="13.28515625" style="238" customWidth="1"/>
    <col min="6925" max="6925" width="12.42578125" style="238" customWidth="1"/>
    <col min="6926" max="6926" width="11.85546875" style="238" customWidth="1"/>
    <col min="6927" max="6928" width="11.42578125" style="238"/>
    <col min="6929" max="6929" width="11.7109375" style="238" customWidth="1"/>
    <col min="6930" max="6931" width="1.7109375" style="238" customWidth="1"/>
    <col min="6932" max="7169" width="11.42578125" style="238"/>
    <col min="7170" max="7170" width="1.7109375" style="238" customWidth="1"/>
    <col min="7171" max="7171" width="15.28515625" style="238" customWidth="1"/>
    <col min="7172" max="7172" width="11.42578125" style="238" customWidth="1"/>
    <col min="7173" max="7179" width="0" style="238" hidden="1" customWidth="1"/>
    <col min="7180" max="7180" width="13.28515625" style="238" customWidth="1"/>
    <col min="7181" max="7181" width="12.42578125" style="238" customWidth="1"/>
    <col min="7182" max="7182" width="11.85546875" style="238" customWidth="1"/>
    <col min="7183" max="7184" width="11.42578125" style="238"/>
    <col min="7185" max="7185" width="11.7109375" style="238" customWidth="1"/>
    <col min="7186" max="7187" width="1.7109375" style="238" customWidth="1"/>
    <col min="7188" max="7425" width="11.42578125" style="238"/>
    <col min="7426" max="7426" width="1.7109375" style="238" customWidth="1"/>
    <col min="7427" max="7427" width="15.28515625" style="238" customWidth="1"/>
    <col min="7428" max="7428" width="11.42578125" style="238" customWidth="1"/>
    <col min="7429" max="7435" width="0" style="238" hidden="1" customWidth="1"/>
    <col min="7436" max="7436" width="13.28515625" style="238" customWidth="1"/>
    <col min="7437" max="7437" width="12.42578125" style="238" customWidth="1"/>
    <col min="7438" max="7438" width="11.85546875" style="238" customWidth="1"/>
    <col min="7439" max="7440" width="11.42578125" style="238"/>
    <col min="7441" max="7441" width="11.7109375" style="238" customWidth="1"/>
    <col min="7442" max="7443" width="1.7109375" style="238" customWidth="1"/>
    <col min="7444" max="7681" width="11.42578125" style="238"/>
    <col min="7682" max="7682" width="1.7109375" style="238" customWidth="1"/>
    <col min="7683" max="7683" width="15.28515625" style="238" customWidth="1"/>
    <col min="7684" max="7684" width="11.42578125" style="238" customWidth="1"/>
    <col min="7685" max="7691" width="0" style="238" hidden="1" customWidth="1"/>
    <col min="7692" max="7692" width="13.28515625" style="238" customWidth="1"/>
    <col min="7693" max="7693" width="12.42578125" style="238" customWidth="1"/>
    <col min="7694" max="7694" width="11.85546875" style="238" customWidth="1"/>
    <col min="7695" max="7696" width="11.42578125" style="238"/>
    <col min="7697" max="7697" width="11.7109375" style="238" customWidth="1"/>
    <col min="7698" max="7699" width="1.7109375" style="238" customWidth="1"/>
    <col min="7700" max="7937" width="11.42578125" style="238"/>
    <col min="7938" max="7938" width="1.7109375" style="238" customWidth="1"/>
    <col min="7939" max="7939" width="15.28515625" style="238" customWidth="1"/>
    <col min="7940" max="7940" width="11.42578125" style="238" customWidth="1"/>
    <col min="7941" max="7947" width="0" style="238" hidden="1" customWidth="1"/>
    <col min="7948" max="7948" width="13.28515625" style="238" customWidth="1"/>
    <col min="7949" max="7949" width="12.42578125" style="238" customWidth="1"/>
    <col min="7950" max="7950" width="11.85546875" style="238" customWidth="1"/>
    <col min="7951" max="7952" width="11.42578125" style="238"/>
    <col min="7953" max="7953" width="11.7109375" style="238" customWidth="1"/>
    <col min="7954" max="7955" width="1.7109375" style="238" customWidth="1"/>
    <col min="7956" max="8193" width="11.42578125" style="238"/>
    <col min="8194" max="8194" width="1.7109375" style="238" customWidth="1"/>
    <col min="8195" max="8195" width="15.28515625" style="238" customWidth="1"/>
    <col min="8196" max="8196" width="11.42578125" style="238" customWidth="1"/>
    <col min="8197" max="8203" width="0" style="238" hidden="1" customWidth="1"/>
    <col min="8204" max="8204" width="13.28515625" style="238" customWidth="1"/>
    <col min="8205" max="8205" width="12.42578125" style="238" customWidth="1"/>
    <col min="8206" max="8206" width="11.85546875" style="238" customWidth="1"/>
    <col min="8207" max="8208" width="11.42578125" style="238"/>
    <col min="8209" max="8209" width="11.7109375" style="238" customWidth="1"/>
    <col min="8210" max="8211" width="1.7109375" style="238" customWidth="1"/>
    <col min="8212" max="8449" width="11.42578125" style="238"/>
    <col min="8450" max="8450" width="1.7109375" style="238" customWidth="1"/>
    <col min="8451" max="8451" width="15.28515625" style="238" customWidth="1"/>
    <col min="8452" max="8452" width="11.42578125" style="238" customWidth="1"/>
    <col min="8453" max="8459" width="0" style="238" hidden="1" customWidth="1"/>
    <col min="8460" max="8460" width="13.28515625" style="238" customWidth="1"/>
    <col min="8461" max="8461" width="12.42578125" style="238" customWidth="1"/>
    <col min="8462" max="8462" width="11.85546875" style="238" customWidth="1"/>
    <col min="8463" max="8464" width="11.42578125" style="238"/>
    <col min="8465" max="8465" width="11.7109375" style="238" customWidth="1"/>
    <col min="8466" max="8467" width="1.7109375" style="238" customWidth="1"/>
    <col min="8468" max="8705" width="11.42578125" style="238"/>
    <col min="8706" max="8706" width="1.7109375" style="238" customWidth="1"/>
    <col min="8707" max="8707" width="15.28515625" style="238" customWidth="1"/>
    <col min="8708" max="8708" width="11.42578125" style="238" customWidth="1"/>
    <col min="8709" max="8715" width="0" style="238" hidden="1" customWidth="1"/>
    <col min="8716" max="8716" width="13.28515625" style="238" customWidth="1"/>
    <col min="8717" max="8717" width="12.42578125" style="238" customWidth="1"/>
    <col min="8718" max="8718" width="11.85546875" style="238" customWidth="1"/>
    <col min="8719" max="8720" width="11.42578125" style="238"/>
    <col min="8721" max="8721" width="11.7109375" style="238" customWidth="1"/>
    <col min="8722" max="8723" width="1.7109375" style="238" customWidth="1"/>
    <col min="8724" max="8961" width="11.42578125" style="238"/>
    <col min="8962" max="8962" width="1.7109375" style="238" customWidth="1"/>
    <col min="8963" max="8963" width="15.28515625" style="238" customWidth="1"/>
    <col min="8964" max="8964" width="11.42578125" style="238" customWidth="1"/>
    <col min="8965" max="8971" width="0" style="238" hidden="1" customWidth="1"/>
    <col min="8972" max="8972" width="13.28515625" style="238" customWidth="1"/>
    <col min="8973" max="8973" width="12.42578125" style="238" customWidth="1"/>
    <col min="8974" max="8974" width="11.85546875" style="238" customWidth="1"/>
    <col min="8975" max="8976" width="11.42578125" style="238"/>
    <col min="8977" max="8977" width="11.7109375" style="238" customWidth="1"/>
    <col min="8978" max="8979" width="1.7109375" style="238" customWidth="1"/>
    <col min="8980" max="9217" width="11.42578125" style="238"/>
    <col min="9218" max="9218" width="1.7109375" style="238" customWidth="1"/>
    <col min="9219" max="9219" width="15.28515625" style="238" customWidth="1"/>
    <col min="9220" max="9220" width="11.42578125" style="238" customWidth="1"/>
    <col min="9221" max="9227" width="0" style="238" hidden="1" customWidth="1"/>
    <col min="9228" max="9228" width="13.28515625" style="238" customWidth="1"/>
    <col min="9229" max="9229" width="12.42578125" style="238" customWidth="1"/>
    <col min="9230" max="9230" width="11.85546875" style="238" customWidth="1"/>
    <col min="9231" max="9232" width="11.42578125" style="238"/>
    <col min="9233" max="9233" width="11.7109375" style="238" customWidth="1"/>
    <col min="9234" max="9235" width="1.7109375" style="238" customWidth="1"/>
    <col min="9236" max="9473" width="11.42578125" style="238"/>
    <col min="9474" max="9474" width="1.7109375" style="238" customWidth="1"/>
    <col min="9475" max="9475" width="15.28515625" style="238" customWidth="1"/>
    <col min="9476" max="9476" width="11.42578125" style="238" customWidth="1"/>
    <col min="9477" max="9483" width="0" style="238" hidden="1" customWidth="1"/>
    <col min="9484" max="9484" width="13.28515625" style="238" customWidth="1"/>
    <col min="9485" max="9485" width="12.42578125" style="238" customWidth="1"/>
    <col min="9486" max="9486" width="11.85546875" style="238" customWidth="1"/>
    <col min="9487" max="9488" width="11.42578125" style="238"/>
    <col min="9489" max="9489" width="11.7109375" style="238" customWidth="1"/>
    <col min="9490" max="9491" width="1.7109375" style="238" customWidth="1"/>
    <col min="9492" max="9729" width="11.42578125" style="238"/>
    <col min="9730" max="9730" width="1.7109375" style="238" customWidth="1"/>
    <col min="9731" max="9731" width="15.28515625" style="238" customWidth="1"/>
    <col min="9732" max="9732" width="11.42578125" style="238" customWidth="1"/>
    <col min="9733" max="9739" width="0" style="238" hidden="1" customWidth="1"/>
    <col min="9740" max="9740" width="13.28515625" style="238" customWidth="1"/>
    <col min="9741" max="9741" width="12.42578125" style="238" customWidth="1"/>
    <col min="9742" max="9742" width="11.85546875" style="238" customWidth="1"/>
    <col min="9743" max="9744" width="11.42578125" style="238"/>
    <col min="9745" max="9745" width="11.7109375" style="238" customWidth="1"/>
    <col min="9746" max="9747" width="1.7109375" style="238" customWidth="1"/>
    <col min="9748" max="9985" width="11.42578125" style="238"/>
    <col min="9986" max="9986" width="1.7109375" style="238" customWidth="1"/>
    <col min="9987" max="9987" width="15.28515625" style="238" customWidth="1"/>
    <col min="9988" max="9988" width="11.42578125" style="238" customWidth="1"/>
    <col min="9989" max="9995" width="0" style="238" hidden="1" customWidth="1"/>
    <col min="9996" max="9996" width="13.28515625" style="238" customWidth="1"/>
    <col min="9997" max="9997" width="12.42578125" style="238" customWidth="1"/>
    <col min="9998" max="9998" width="11.85546875" style="238" customWidth="1"/>
    <col min="9999" max="10000" width="11.42578125" style="238"/>
    <col min="10001" max="10001" width="11.7109375" style="238" customWidth="1"/>
    <col min="10002" max="10003" width="1.7109375" style="238" customWidth="1"/>
    <col min="10004" max="10241" width="11.42578125" style="238"/>
    <col min="10242" max="10242" width="1.7109375" style="238" customWidth="1"/>
    <col min="10243" max="10243" width="15.28515625" style="238" customWidth="1"/>
    <col min="10244" max="10244" width="11.42578125" style="238" customWidth="1"/>
    <col min="10245" max="10251" width="0" style="238" hidden="1" customWidth="1"/>
    <col min="10252" max="10252" width="13.28515625" style="238" customWidth="1"/>
    <col min="10253" max="10253" width="12.42578125" style="238" customWidth="1"/>
    <col min="10254" max="10254" width="11.85546875" style="238" customWidth="1"/>
    <col min="10255" max="10256" width="11.42578125" style="238"/>
    <col min="10257" max="10257" width="11.7109375" style="238" customWidth="1"/>
    <col min="10258" max="10259" width="1.7109375" style="238" customWidth="1"/>
    <col min="10260" max="10497" width="11.42578125" style="238"/>
    <col min="10498" max="10498" width="1.7109375" style="238" customWidth="1"/>
    <col min="10499" max="10499" width="15.28515625" style="238" customWidth="1"/>
    <col min="10500" max="10500" width="11.42578125" style="238" customWidth="1"/>
    <col min="10501" max="10507" width="0" style="238" hidden="1" customWidth="1"/>
    <col min="10508" max="10508" width="13.28515625" style="238" customWidth="1"/>
    <col min="10509" max="10509" width="12.42578125" style="238" customWidth="1"/>
    <col min="10510" max="10510" width="11.85546875" style="238" customWidth="1"/>
    <col min="10511" max="10512" width="11.42578125" style="238"/>
    <col min="10513" max="10513" width="11.7109375" style="238" customWidth="1"/>
    <col min="10514" max="10515" width="1.7109375" style="238" customWidth="1"/>
    <col min="10516" max="10753" width="11.42578125" style="238"/>
    <col min="10754" max="10754" width="1.7109375" style="238" customWidth="1"/>
    <col min="10755" max="10755" width="15.28515625" style="238" customWidth="1"/>
    <col min="10756" max="10756" width="11.42578125" style="238" customWidth="1"/>
    <col min="10757" max="10763" width="0" style="238" hidden="1" customWidth="1"/>
    <col min="10764" max="10764" width="13.28515625" style="238" customWidth="1"/>
    <col min="10765" max="10765" width="12.42578125" style="238" customWidth="1"/>
    <col min="10766" max="10766" width="11.85546875" style="238" customWidth="1"/>
    <col min="10767" max="10768" width="11.42578125" style="238"/>
    <col min="10769" max="10769" width="11.7109375" style="238" customWidth="1"/>
    <col min="10770" max="10771" width="1.7109375" style="238" customWidth="1"/>
    <col min="10772" max="11009" width="11.42578125" style="238"/>
    <col min="11010" max="11010" width="1.7109375" style="238" customWidth="1"/>
    <col min="11011" max="11011" width="15.28515625" style="238" customWidth="1"/>
    <col min="11012" max="11012" width="11.42578125" style="238" customWidth="1"/>
    <col min="11013" max="11019" width="0" style="238" hidden="1" customWidth="1"/>
    <col min="11020" max="11020" width="13.28515625" style="238" customWidth="1"/>
    <col min="11021" max="11021" width="12.42578125" style="238" customWidth="1"/>
    <col min="11022" max="11022" width="11.85546875" style="238" customWidth="1"/>
    <col min="11023" max="11024" width="11.42578125" style="238"/>
    <col min="11025" max="11025" width="11.7109375" style="238" customWidth="1"/>
    <col min="11026" max="11027" width="1.7109375" style="238" customWidth="1"/>
    <col min="11028" max="11265" width="11.42578125" style="238"/>
    <col min="11266" max="11266" width="1.7109375" style="238" customWidth="1"/>
    <col min="11267" max="11267" width="15.28515625" style="238" customWidth="1"/>
    <col min="11268" max="11268" width="11.42578125" style="238" customWidth="1"/>
    <col min="11269" max="11275" width="0" style="238" hidden="1" customWidth="1"/>
    <col min="11276" max="11276" width="13.28515625" style="238" customWidth="1"/>
    <col min="11277" max="11277" width="12.42578125" style="238" customWidth="1"/>
    <col min="11278" max="11278" width="11.85546875" style="238" customWidth="1"/>
    <col min="11279" max="11280" width="11.42578125" style="238"/>
    <col min="11281" max="11281" width="11.7109375" style="238" customWidth="1"/>
    <col min="11282" max="11283" width="1.7109375" style="238" customWidth="1"/>
    <col min="11284" max="11521" width="11.42578125" style="238"/>
    <col min="11522" max="11522" width="1.7109375" style="238" customWidth="1"/>
    <col min="11523" max="11523" width="15.28515625" style="238" customWidth="1"/>
    <col min="11524" max="11524" width="11.42578125" style="238" customWidth="1"/>
    <col min="11525" max="11531" width="0" style="238" hidden="1" customWidth="1"/>
    <col min="11532" max="11532" width="13.28515625" style="238" customWidth="1"/>
    <col min="11533" max="11533" width="12.42578125" style="238" customWidth="1"/>
    <col min="11534" max="11534" width="11.85546875" style="238" customWidth="1"/>
    <col min="11535" max="11536" width="11.42578125" style="238"/>
    <col min="11537" max="11537" width="11.7109375" style="238" customWidth="1"/>
    <col min="11538" max="11539" width="1.7109375" style="238" customWidth="1"/>
    <col min="11540" max="11777" width="11.42578125" style="238"/>
    <col min="11778" max="11778" width="1.7109375" style="238" customWidth="1"/>
    <col min="11779" max="11779" width="15.28515625" style="238" customWidth="1"/>
    <col min="11780" max="11780" width="11.42578125" style="238" customWidth="1"/>
    <col min="11781" max="11787" width="0" style="238" hidden="1" customWidth="1"/>
    <col min="11788" max="11788" width="13.28515625" style="238" customWidth="1"/>
    <col min="11789" max="11789" width="12.42578125" style="238" customWidth="1"/>
    <col min="11790" max="11790" width="11.85546875" style="238" customWidth="1"/>
    <col min="11791" max="11792" width="11.42578125" style="238"/>
    <col min="11793" max="11793" width="11.7109375" style="238" customWidth="1"/>
    <col min="11794" max="11795" width="1.7109375" style="238" customWidth="1"/>
    <col min="11796" max="12033" width="11.42578125" style="238"/>
    <col min="12034" max="12034" width="1.7109375" style="238" customWidth="1"/>
    <col min="12035" max="12035" width="15.28515625" style="238" customWidth="1"/>
    <col min="12036" max="12036" width="11.42578125" style="238" customWidth="1"/>
    <col min="12037" max="12043" width="0" style="238" hidden="1" customWidth="1"/>
    <col min="12044" max="12044" width="13.28515625" style="238" customWidth="1"/>
    <col min="12045" max="12045" width="12.42578125" style="238" customWidth="1"/>
    <col min="12046" max="12046" width="11.85546875" style="238" customWidth="1"/>
    <col min="12047" max="12048" width="11.42578125" style="238"/>
    <col min="12049" max="12049" width="11.7109375" style="238" customWidth="1"/>
    <col min="12050" max="12051" width="1.7109375" style="238" customWidth="1"/>
    <col min="12052" max="12289" width="11.42578125" style="238"/>
    <col min="12290" max="12290" width="1.7109375" style="238" customWidth="1"/>
    <col min="12291" max="12291" width="15.28515625" style="238" customWidth="1"/>
    <col min="12292" max="12292" width="11.42578125" style="238" customWidth="1"/>
    <col min="12293" max="12299" width="0" style="238" hidden="1" customWidth="1"/>
    <col min="12300" max="12300" width="13.28515625" style="238" customWidth="1"/>
    <col min="12301" max="12301" width="12.42578125" style="238" customWidth="1"/>
    <col min="12302" max="12302" width="11.85546875" style="238" customWidth="1"/>
    <col min="12303" max="12304" width="11.42578125" style="238"/>
    <col min="12305" max="12305" width="11.7109375" style="238" customWidth="1"/>
    <col min="12306" max="12307" width="1.7109375" style="238" customWidth="1"/>
    <col min="12308" max="12545" width="11.42578125" style="238"/>
    <col min="12546" max="12546" width="1.7109375" style="238" customWidth="1"/>
    <col min="12547" max="12547" width="15.28515625" style="238" customWidth="1"/>
    <col min="12548" max="12548" width="11.42578125" style="238" customWidth="1"/>
    <col min="12549" max="12555" width="0" style="238" hidden="1" customWidth="1"/>
    <col min="12556" max="12556" width="13.28515625" style="238" customWidth="1"/>
    <col min="12557" max="12557" width="12.42578125" style="238" customWidth="1"/>
    <col min="12558" max="12558" width="11.85546875" style="238" customWidth="1"/>
    <col min="12559" max="12560" width="11.42578125" style="238"/>
    <col min="12561" max="12561" width="11.7109375" style="238" customWidth="1"/>
    <col min="12562" max="12563" width="1.7109375" style="238" customWidth="1"/>
    <col min="12564" max="12801" width="11.42578125" style="238"/>
    <col min="12802" max="12802" width="1.7109375" style="238" customWidth="1"/>
    <col min="12803" max="12803" width="15.28515625" style="238" customWidth="1"/>
    <col min="12804" max="12804" width="11.42578125" style="238" customWidth="1"/>
    <col min="12805" max="12811" width="0" style="238" hidden="1" customWidth="1"/>
    <col min="12812" max="12812" width="13.28515625" style="238" customWidth="1"/>
    <col min="12813" max="12813" width="12.42578125" style="238" customWidth="1"/>
    <col min="12814" max="12814" width="11.85546875" style="238" customWidth="1"/>
    <col min="12815" max="12816" width="11.42578125" style="238"/>
    <col min="12817" max="12817" width="11.7109375" style="238" customWidth="1"/>
    <col min="12818" max="12819" width="1.7109375" style="238" customWidth="1"/>
    <col min="12820" max="13057" width="11.42578125" style="238"/>
    <col min="13058" max="13058" width="1.7109375" style="238" customWidth="1"/>
    <col min="13059" max="13059" width="15.28515625" style="238" customWidth="1"/>
    <col min="13060" max="13060" width="11.42578125" style="238" customWidth="1"/>
    <col min="13061" max="13067" width="0" style="238" hidden="1" customWidth="1"/>
    <col min="13068" max="13068" width="13.28515625" style="238" customWidth="1"/>
    <col min="13069" max="13069" width="12.42578125" style="238" customWidth="1"/>
    <col min="13070" max="13070" width="11.85546875" style="238" customWidth="1"/>
    <col min="13071" max="13072" width="11.42578125" style="238"/>
    <col min="13073" max="13073" width="11.7109375" style="238" customWidth="1"/>
    <col min="13074" max="13075" width="1.7109375" style="238" customWidth="1"/>
    <col min="13076" max="13313" width="11.42578125" style="238"/>
    <col min="13314" max="13314" width="1.7109375" style="238" customWidth="1"/>
    <col min="13315" max="13315" width="15.28515625" style="238" customWidth="1"/>
    <col min="13316" max="13316" width="11.42578125" style="238" customWidth="1"/>
    <col min="13317" max="13323" width="0" style="238" hidden="1" customWidth="1"/>
    <col min="13324" max="13324" width="13.28515625" style="238" customWidth="1"/>
    <col min="13325" max="13325" width="12.42578125" style="238" customWidth="1"/>
    <col min="13326" max="13326" width="11.85546875" style="238" customWidth="1"/>
    <col min="13327" max="13328" width="11.42578125" style="238"/>
    <col min="13329" max="13329" width="11.7109375" style="238" customWidth="1"/>
    <col min="13330" max="13331" width="1.7109375" style="238" customWidth="1"/>
    <col min="13332" max="13569" width="11.42578125" style="238"/>
    <col min="13570" max="13570" width="1.7109375" style="238" customWidth="1"/>
    <col min="13571" max="13571" width="15.28515625" style="238" customWidth="1"/>
    <col min="13572" max="13572" width="11.42578125" style="238" customWidth="1"/>
    <col min="13573" max="13579" width="0" style="238" hidden="1" customWidth="1"/>
    <col min="13580" max="13580" width="13.28515625" style="238" customWidth="1"/>
    <col min="13581" max="13581" width="12.42578125" style="238" customWidth="1"/>
    <col min="13582" max="13582" width="11.85546875" style="238" customWidth="1"/>
    <col min="13583" max="13584" width="11.42578125" style="238"/>
    <col min="13585" max="13585" width="11.7109375" style="238" customWidth="1"/>
    <col min="13586" max="13587" width="1.7109375" style="238" customWidth="1"/>
    <col min="13588" max="13825" width="11.42578125" style="238"/>
    <col min="13826" max="13826" width="1.7109375" style="238" customWidth="1"/>
    <col min="13827" max="13827" width="15.28515625" style="238" customWidth="1"/>
    <col min="13828" max="13828" width="11.42578125" style="238" customWidth="1"/>
    <col min="13829" max="13835" width="0" style="238" hidden="1" customWidth="1"/>
    <col min="13836" max="13836" width="13.28515625" style="238" customWidth="1"/>
    <col min="13837" max="13837" width="12.42578125" style="238" customWidth="1"/>
    <col min="13838" max="13838" width="11.85546875" style="238" customWidth="1"/>
    <col min="13839" max="13840" width="11.42578125" style="238"/>
    <col min="13841" max="13841" width="11.7109375" style="238" customWidth="1"/>
    <col min="13842" max="13843" width="1.7109375" style="238" customWidth="1"/>
    <col min="13844" max="14081" width="11.42578125" style="238"/>
    <col min="14082" max="14082" width="1.7109375" style="238" customWidth="1"/>
    <col min="14083" max="14083" width="15.28515625" style="238" customWidth="1"/>
    <col min="14084" max="14084" width="11.42578125" style="238" customWidth="1"/>
    <col min="14085" max="14091" width="0" style="238" hidden="1" customWidth="1"/>
    <col min="14092" max="14092" width="13.28515625" style="238" customWidth="1"/>
    <col min="14093" max="14093" width="12.42578125" style="238" customWidth="1"/>
    <col min="14094" max="14094" width="11.85546875" style="238" customWidth="1"/>
    <col min="14095" max="14096" width="11.42578125" style="238"/>
    <col min="14097" max="14097" width="11.7109375" style="238" customWidth="1"/>
    <col min="14098" max="14099" width="1.7109375" style="238" customWidth="1"/>
    <col min="14100" max="14337" width="11.42578125" style="238"/>
    <col min="14338" max="14338" width="1.7109375" style="238" customWidth="1"/>
    <col min="14339" max="14339" width="15.28515625" style="238" customWidth="1"/>
    <col min="14340" max="14340" width="11.42578125" style="238" customWidth="1"/>
    <col min="14341" max="14347" width="0" style="238" hidden="1" customWidth="1"/>
    <col min="14348" max="14348" width="13.28515625" style="238" customWidth="1"/>
    <col min="14349" max="14349" width="12.42578125" style="238" customWidth="1"/>
    <col min="14350" max="14350" width="11.85546875" style="238" customWidth="1"/>
    <col min="14351" max="14352" width="11.42578125" style="238"/>
    <col min="14353" max="14353" width="11.7109375" style="238" customWidth="1"/>
    <col min="14354" max="14355" width="1.7109375" style="238" customWidth="1"/>
    <col min="14356" max="14593" width="11.42578125" style="238"/>
    <col min="14594" max="14594" width="1.7109375" style="238" customWidth="1"/>
    <col min="14595" max="14595" width="15.28515625" style="238" customWidth="1"/>
    <col min="14596" max="14596" width="11.42578125" style="238" customWidth="1"/>
    <col min="14597" max="14603" width="0" style="238" hidden="1" customWidth="1"/>
    <col min="14604" max="14604" width="13.28515625" style="238" customWidth="1"/>
    <col min="14605" max="14605" width="12.42578125" style="238" customWidth="1"/>
    <col min="14606" max="14606" width="11.85546875" style="238" customWidth="1"/>
    <col min="14607" max="14608" width="11.42578125" style="238"/>
    <col min="14609" max="14609" width="11.7109375" style="238" customWidth="1"/>
    <col min="14610" max="14611" width="1.7109375" style="238" customWidth="1"/>
    <col min="14612" max="14849" width="11.42578125" style="238"/>
    <col min="14850" max="14850" width="1.7109375" style="238" customWidth="1"/>
    <col min="14851" max="14851" width="15.28515625" style="238" customWidth="1"/>
    <col min="14852" max="14852" width="11.42578125" style="238" customWidth="1"/>
    <col min="14853" max="14859" width="0" style="238" hidden="1" customWidth="1"/>
    <col min="14860" max="14860" width="13.28515625" style="238" customWidth="1"/>
    <col min="14861" max="14861" width="12.42578125" style="238" customWidth="1"/>
    <col min="14862" max="14862" width="11.85546875" style="238" customWidth="1"/>
    <col min="14863" max="14864" width="11.42578125" style="238"/>
    <col min="14865" max="14865" width="11.7109375" style="238" customWidth="1"/>
    <col min="14866" max="14867" width="1.7109375" style="238" customWidth="1"/>
    <col min="14868" max="15105" width="11.42578125" style="238"/>
    <col min="15106" max="15106" width="1.7109375" style="238" customWidth="1"/>
    <col min="15107" max="15107" width="15.28515625" style="238" customWidth="1"/>
    <col min="15108" max="15108" width="11.42578125" style="238" customWidth="1"/>
    <col min="15109" max="15115" width="0" style="238" hidden="1" customWidth="1"/>
    <col min="15116" max="15116" width="13.28515625" style="238" customWidth="1"/>
    <col min="15117" max="15117" width="12.42578125" style="238" customWidth="1"/>
    <col min="15118" max="15118" width="11.85546875" style="238" customWidth="1"/>
    <col min="15119" max="15120" width="11.42578125" style="238"/>
    <col min="15121" max="15121" width="11.7109375" style="238" customWidth="1"/>
    <col min="15122" max="15123" width="1.7109375" style="238" customWidth="1"/>
    <col min="15124" max="15361" width="11.42578125" style="238"/>
    <col min="15362" max="15362" width="1.7109375" style="238" customWidth="1"/>
    <col min="15363" max="15363" width="15.28515625" style="238" customWidth="1"/>
    <col min="15364" max="15364" width="11.42578125" style="238" customWidth="1"/>
    <col min="15365" max="15371" width="0" style="238" hidden="1" customWidth="1"/>
    <col min="15372" max="15372" width="13.28515625" style="238" customWidth="1"/>
    <col min="15373" max="15373" width="12.42578125" style="238" customWidth="1"/>
    <col min="15374" max="15374" width="11.85546875" style="238" customWidth="1"/>
    <col min="15375" max="15376" width="11.42578125" style="238"/>
    <col min="15377" max="15377" width="11.7109375" style="238" customWidth="1"/>
    <col min="15378" max="15379" width="1.7109375" style="238" customWidth="1"/>
    <col min="15380" max="15617" width="11.42578125" style="238"/>
    <col min="15618" max="15618" width="1.7109375" style="238" customWidth="1"/>
    <col min="15619" max="15619" width="15.28515625" style="238" customWidth="1"/>
    <col min="15620" max="15620" width="11.42578125" style="238" customWidth="1"/>
    <col min="15621" max="15627" width="0" style="238" hidden="1" customWidth="1"/>
    <col min="15628" max="15628" width="13.28515625" style="238" customWidth="1"/>
    <col min="15629" max="15629" width="12.42578125" style="238" customWidth="1"/>
    <col min="15630" max="15630" width="11.85546875" style="238" customWidth="1"/>
    <col min="15631" max="15632" width="11.42578125" style="238"/>
    <col min="15633" max="15633" width="11.7109375" style="238" customWidth="1"/>
    <col min="15634" max="15635" width="1.7109375" style="238" customWidth="1"/>
    <col min="15636" max="15873" width="11.42578125" style="238"/>
    <col min="15874" max="15874" width="1.7109375" style="238" customWidth="1"/>
    <col min="15875" max="15875" width="15.28515625" style="238" customWidth="1"/>
    <col min="15876" max="15876" width="11.42578125" style="238" customWidth="1"/>
    <col min="15877" max="15883" width="0" style="238" hidden="1" customWidth="1"/>
    <col min="15884" max="15884" width="13.28515625" style="238" customWidth="1"/>
    <col min="15885" max="15885" width="12.42578125" style="238" customWidth="1"/>
    <col min="15886" max="15886" width="11.85546875" style="238" customWidth="1"/>
    <col min="15887" max="15888" width="11.42578125" style="238"/>
    <col min="15889" max="15889" width="11.7109375" style="238" customWidth="1"/>
    <col min="15890" max="15891" width="1.7109375" style="238" customWidth="1"/>
    <col min="15892" max="16129" width="11.42578125" style="238"/>
    <col min="16130" max="16130" width="1.7109375" style="238" customWidth="1"/>
    <col min="16131" max="16131" width="15.28515625" style="238" customWidth="1"/>
    <col min="16132" max="16132" width="11.42578125" style="238" customWidth="1"/>
    <col min="16133" max="16139" width="0" style="238" hidden="1" customWidth="1"/>
    <col min="16140" max="16140" width="13.28515625" style="238" customWidth="1"/>
    <col min="16141" max="16141" width="12.42578125" style="238" customWidth="1"/>
    <col min="16142" max="16142" width="11.85546875" style="238" customWidth="1"/>
    <col min="16143" max="16144" width="11.42578125" style="238"/>
    <col min="16145" max="16145" width="11.7109375" style="238" customWidth="1"/>
    <col min="16146" max="16147" width="1.7109375" style="238" customWidth="1"/>
    <col min="16148" max="16384" width="11.42578125" style="238"/>
  </cols>
  <sheetData>
    <row r="2" spans="2:19" ht="1.5" customHeight="1"/>
    <row r="3" spans="2:19" ht="15.75">
      <c r="B3" s="241" t="s">
        <v>194</v>
      </c>
      <c r="C3" s="241"/>
      <c r="D3" s="241"/>
      <c r="E3" s="241"/>
      <c r="F3" s="241"/>
      <c r="G3" s="241"/>
      <c r="H3" s="241"/>
      <c r="I3" s="241"/>
      <c r="J3" s="241"/>
      <c r="K3" s="241"/>
      <c r="L3" s="241"/>
      <c r="M3" s="241"/>
      <c r="N3" s="241"/>
      <c r="O3" s="241"/>
      <c r="P3" s="241"/>
      <c r="Q3" s="241"/>
    </row>
    <row r="4" spans="2:19" ht="15.75">
      <c r="C4" s="1294" t="s">
        <v>666</v>
      </c>
      <c r="D4" s="1294"/>
      <c r="E4" s="1294"/>
      <c r="F4" s="1294"/>
      <c r="G4" s="1294"/>
      <c r="H4" s="1294"/>
      <c r="I4" s="1294"/>
      <c r="J4" s="1294"/>
      <c r="K4" s="1294"/>
      <c r="L4" s="1294"/>
      <c r="M4" s="1294"/>
      <c r="N4" s="1294"/>
      <c r="O4" s="1294"/>
      <c r="P4" s="1294"/>
      <c r="Q4" s="1294"/>
    </row>
    <row r="5" spans="2:19" ht="15" customHeight="1">
      <c r="C5" s="1294" t="s">
        <v>667</v>
      </c>
      <c r="D5" s="1294"/>
      <c r="E5" s="1294"/>
      <c r="F5" s="1294"/>
      <c r="G5" s="1294"/>
      <c r="H5" s="1294"/>
      <c r="I5" s="1294"/>
      <c r="J5" s="1294"/>
      <c r="K5" s="1294"/>
      <c r="L5" s="1294"/>
      <c r="M5" s="1294"/>
      <c r="N5" s="1294"/>
      <c r="O5" s="1294"/>
      <c r="P5" s="1294"/>
      <c r="Q5" s="1294"/>
    </row>
    <row r="6" spans="2:19">
      <c r="C6" s="1237" t="s">
        <v>195</v>
      </c>
      <c r="D6" s="1237"/>
      <c r="E6" s="1237"/>
      <c r="F6" s="1237"/>
      <c r="G6" s="1237"/>
      <c r="H6" s="1237"/>
      <c r="I6" s="1237"/>
      <c r="J6" s="1237"/>
      <c r="K6" s="1237"/>
      <c r="L6" s="1237"/>
      <c r="M6" s="1237"/>
      <c r="N6" s="1237"/>
      <c r="O6" s="1237"/>
      <c r="P6" s="1237"/>
      <c r="Q6" s="1237"/>
    </row>
    <row r="7" spans="2:19" ht="17.25" customHeight="1" thickBot="1">
      <c r="C7" s="245"/>
      <c r="D7" s="245"/>
      <c r="E7" s="245"/>
      <c r="F7" s="245"/>
      <c r="G7" s="245"/>
      <c r="H7" s="245"/>
      <c r="I7" s="245"/>
      <c r="J7" s="245"/>
      <c r="K7" s="245"/>
      <c r="L7" s="245"/>
      <c r="M7" s="245"/>
      <c r="N7" s="245"/>
      <c r="O7" s="245"/>
    </row>
    <row r="8" spans="2:19" ht="30" customHeight="1">
      <c r="C8" s="1295" t="s">
        <v>164</v>
      </c>
      <c r="D8" s="246"/>
      <c r="E8" s="246"/>
      <c r="F8" s="1298" t="s">
        <v>258</v>
      </c>
      <c r="G8" s="1298"/>
      <c r="H8" s="1298"/>
      <c r="I8" s="1298"/>
      <c r="J8" s="1298"/>
      <c r="K8" s="1298"/>
      <c r="L8" s="1298" t="s">
        <v>634</v>
      </c>
      <c r="M8" s="1298"/>
      <c r="N8" s="1298"/>
      <c r="O8" s="1298"/>
      <c r="P8" s="1298"/>
      <c r="Q8" s="1298"/>
      <c r="R8" s="292"/>
      <c r="S8" s="247"/>
    </row>
    <row r="9" spans="2:19">
      <c r="C9" s="1296"/>
      <c r="D9" s="247"/>
      <c r="E9" s="247"/>
      <c r="F9" s="248" t="s">
        <v>197</v>
      </c>
      <c r="G9" s="249"/>
      <c r="H9" s="248" t="s">
        <v>198</v>
      </c>
      <c r="I9" s="247"/>
      <c r="J9" s="248" t="s">
        <v>199</v>
      </c>
      <c r="K9" s="247"/>
      <c r="L9" s="248" t="s">
        <v>165</v>
      </c>
      <c r="M9" s="247"/>
      <c r="N9" s="248" t="s">
        <v>166</v>
      </c>
      <c r="O9" s="247"/>
      <c r="P9" s="248" t="s">
        <v>167</v>
      </c>
      <c r="Q9" s="247"/>
      <c r="R9" s="250"/>
      <c r="S9" s="247"/>
    </row>
    <row r="10" spans="2:19">
      <c r="C10" s="1296"/>
      <c r="D10" s="247"/>
      <c r="E10" s="247"/>
      <c r="F10" s="248"/>
      <c r="G10" s="249"/>
      <c r="H10" s="248"/>
      <c r="I10" s="247"/>
      <c r="J10" s="248"/>
      <c r="K10" s="247"/>
      <c r="L10" s="1299" t="s">
        <v>427</v>
      </c>
      <c r="M10" s="1299"/>
      <c r="N10" s="1299" t="s">
        <v>428</v>
      </c>
      <c r="O10" s="1299"/>
      <c r="P10" s="1299" t="s">
        <v>429</v>
      </c>
      <c r="Q10" s="1299"/>
      <c r="R10" s="250"/>
      <c r="S10" s="247"/>
    </row>
    <row r="11" spans="2:19">
      <c r="C11" s="1296"/>
      <c r="D11" s="247"/>
      <c r="E11" s="247"/>
      <c r="F11" s="247"/>
      <c r="G11" s="251" t="s">
        <v>169</v>
      </c>
      <c r="H11" s="247"/>
      <c r="I11" s="251" t="s">
        <v>169</v>
      </c>
      <c r="J11" s="247"/>
      <c r="K11" s="251" t="s">
        <v>169</v>
      </c>
      <c r="L11" s="247"/>
      <c r="M11" s="251" t="s">
        <v>169</v>
      </c>
      <c r="N11" s="247"/>
      <c r="O11" s="251" t="s">
        <v>169</v>
      </c>
      <c r="P11" s="247"/>
      <c r="Q11" s="251" t="s">
        <v>169</v>
      </c>
      <c r="R11" s="250"/>
      <c r="S11" s="247"/>
    </row>
    <row r="12" spans="2:19" ht="13.5" thickBot="1">
      <c r="C12" s="1297"/>
      <c r="D12" s="252"/>
      <c r="E12" s="252"/>
      <c r="F12" s="253" t="s">
        <v>170</v>
      </c>
      <c r="G12" s="253" t="s">
        <v>171</v>
      </c>
      <c r="H12" s="253" t="s">
        <v>170</v>
      </c>
      <c r="I12" s="253" t="s">
        <v>171</v>
      </c>
      <c r="J12" s="253" t="s">
        <v>170</v>
      </c>
      <c r="K12" s="253" t="s">
        <v>171</v>
      </c>
      <c r="L12" s="253" t="s">
        <v>170</v>
      </c>
      <c r="M12" s="253" t="s">
        <v>171</v>
      </c>
      <c r="N12" s="253" t="s">
        <v>170</v>
      </c>
      <c r="O12" s="253" t="s">
        <v>171</v>
      </c>
      <c r="P12" s="253" t="s">
        <v>170</v>
      </c>
      <c r="Q12" s="253" t="s">
        <v>171</v>
      </c>
      <c r="R12" s="310"/>
      <c r="S12" s="247"/>
    </row>
    <row r="13" spans="2:19">
      <c r="G13" s="255"/>
      <c r="I13" s="255"/>
      <c r="J13" s="255"/>
      <c r="K13" s="255"/>
      <c r="M13" s="255"/>
      <c r="O13" s="255"/>
      <c r="Q13" s="255"/>
    </row>
    <row r="14" spans="2:19">
      <c r="C14" s="696">
        <v>2005</v>
      </c>
      <c r="D14" s="1287" t="s">
        <v>172</v>
      </c>
      <c r="F14" s="256">
        <v>14041.2</v>
      </c>
      <c r="G14" s="255"/>
      <c r="I14" s="255"/>
      <c r="J14" s="255"/>
      <c r="K14" s="255"/>
      <c r="L14" s="256">
        <v>14041.199999999999</v>
      </c>
      <c r="M14" s="255"/>
      <c r="O14" s="255"/>
      <c r="Q14" s="255"/>
    </row>
    <row r="15" spans="2:19">
      <c r="C15" s="697">
        <v>2006</v>
      </c>
      <c r="D15" s="1287"/>
      <c r="E15" s="995"/>
      <c r="F15" s="256">
        <f>'[4]2001-2011 Contraloría Historico'!I43</f>
        <v>15238.599999999999</v>
      </c>
      <c r="G15" s="258">
        <v>8.5000000000000006E-2</v>
      </c>
      <c r="H15" s="256">
        <f>'[4]2001-2011 Contraloría Historico'!I43</f>
        <v>15238.599999999999</v>
      </c>
      <c r="I15" s="258">
        <v>8.5000000000000006E-2</v>
      </c>
      <c r="J15" s="256">
        <f>'[4]2001-2011 Contraloría Historico'!I43</f>
        <v>15238.599999999999</v>
      </c>
      <c r="K15" s="258">
        <v>8.5000000000000006E-2</v>
      </c>
      <c r="L15" s="256">
        <f>'[4]2001-2011 Contraloría Historico'!I43</f>
        <v>15238.599999999999</v>
      </c>
      <c r="M15" s="258">
        <f>(L15/L14)-1</f>
        <v>8.5277611600148129E-2</v>
      </c>
      <c r="N15" s="256">
        <f>'[4]2001-2011 Contraloría Historico'!I43</f>
        <v>15238.599999999999</v>
      </c>
      <c r="O15" s="258">
        <f>N15/L14-1</f>
        <v>8.5277611600148129E-2</v>
      </c>
      <c r="P15" s="256">
        <f>'[4]2001-2011 Contraloría Historico'!I43</f>
        <v>15238.599999999999</v>
      </c>
      <c r="Q15" s="258">
        <f>P15/L14-1</f>
        <v>8.5277611600148129E-2</v>
      </c>
    </row>
    <row r="16" spans="2:19">
      <c r="C16" s="697">
        <v>2007</v>
      </c>
      <c r="D16" s="1287"/>
      <c r="E16" s="995"/>
      <c r="F16" s="256">
        <f>'[4]2001-2011 Contraloría Historico'!J43</f>
        <v>17084.400000000005</v>
      </c>
      <c r="G16" s="258">
        <f>(F16/F15)-1</f>
        <v>0.12112661268095537</v>
      </c>
      <c r="H16" s="256">
        <f>'[4]2001-2011 Contraloría Historico'!J43</f>
        <v>17084.400000000005</v>
      </c>
      <c r="I16" s="258">
        <f>(H16/H15)-1</f>
        <v>0.12112661268095537</v>
      </c>
      <c r="J16" s="256">
        <f>'[4]2001-2011 Contraloría Historico'!J43</f>
        <v>17084.400000000005</v>
      </c>
      <c r="K16" s="258">
        <f>(J16/J15)-1</f>
        <v>0.12112661268095537</v>
      </c>
      <c r="L16" s="256">
        <f>'[4]2001-2011 Contraloría Historico'!J43</f>
        <v>17084.400000000005</v>
      </c>
      <c r="M16" s="258">
        <f>(L16/L15)-1</f>
        <v>0.12112661268095537</v>
      </c>
      <c r="N16" s="256">
        <f>'[4]2001-2011 Contraloría Historico'!J43</f>
        <v>17084.400000000005</v>
      </c>
      <c r="O16" s="258">
        <f>(N16/N15)-1</f>
        <v>0.12112661268095537</v>
      </c>
      <c r="P16" s="256">
        <f>'[4]2001-2011 Contraloría Historico'!J43</f>
        <v>17084.400000000005</v>
      </c>
      <c r="Q16" s="258">
        <f>(P16/P15)-1</f>
        <v>0.12112661268095537</v>
      </c>
    </row>
    <row r="17" spans="3:19">
      <c r="C17" s="697">
        <f t="shared" ref="C17:C31" si="0">C16+1</f>
        <v>2008</v>
      </c>
      <c r="D17" s="1287"/>
      <c r="E17" s="995"/>
      <c r="F17" s="256">
        <f>'[4]2001-2011 Contraloría Historico'!K43</f>
        <v>18812.818146323061</v>
      </c>
      <c r="G17" s="258">
        <f>(F17/F16)-1</f>
        <v>0.10116937945277882</v>
      </c>
      <c r="H17" s="256">
        <f>'[4]2001-2011 Contraloría Historico'!K43</f>
        <v>18812.818146323061</v>
      </c>
      <c r="I17" s="258">
        <f>(H17/H16)-1</f>
        <v>0.10116937945277882</v>
      </c>
      <c r="J17" s="256">
        <f>'[4]2001-2011 Contraloría Historico'!K43</f>
        <v>18812.818146323061</v>
      </c>
      <c r="K17" s="258">
        <f>(J17/J16)-1</f>
        <v>0.10116937945277882</v>
      </c>
      <c r="L17" s="256">
        <f>'[4]2001-2011 Contraloría Historico'!K43</f>
        <v>18812.818146323061</v>
      </c>
      <c r="M17" s="258">
        <f>(L17/L16)-1</f>
        <v>0.10116937945277882</v>
      </c>
      <c r="N17" s="256">
        <f>'[4]2001-2011 Contraloría Historico'!K43</f>
        <v>18812.818146323061</v>
      </c>
      <c r="O17" s="258">
        <f>(N17/N16)-1</f>
        <v>0.10116937945277882</v>
      </c>
      <c r="P17" s="256">
        <f>'[4]2001-2011 Contraloría Historico'!K43</f>
        <v>18812.818146323061</v>
      </c>
      <c r="Q17" s="258">
        <f>(P17/P16)-1</f>
        <v>0.10116937945277882</v>
      </c>
    </row>
    <row r="18" spans="3:19">
      <c r="C18" s="697">
        <f t="shared" si="0"/>
        <v>2009</v>
      </c>
      <c r="D18" s="1287"/>
      <c r="E18" s="995"/>
      <c r="F18" s="698" t="e">
        <f>#REF!</f>
        <v>#REF!</v>
      </c>
      <c r="G18" s="699" t="e">
        <f>#REF!</f>
        <v>#REF!</v>
      </c>
      <c r="H18" s="698" t="e">
        <f>#REF!</f>
        <v>#REF!</v>
      </c>
      <c r="I18" s="699" t="e">
        <f>#REF!</f>
        <v>#REF!</v>
      </c>
      <c r="J18" s="698" t="e">
        <f>#REF!</f>
        <v>#REF!</v>
      </c>
      <c r="K18" s="699" t="e">
        <f>#REF!</f>
        <v>#REF!</v>
      </c>
      <c r="L18" s="256">
        <f>'[4]2001-2011 Contraloría Historico'!L43</f>
        <v>19538.399999999998</v>
      </c>
      <c r="M18" s="258">
        <f>L18/L17-1</f>
        <v>3.8568482830880324E-2</v>
      </c>
      <c r="N18" s="256">
        <f>L18</f>
        <v>19538.399999999998</v>
      </c>
      <c r="O18" s="258">
        <f>N18/L17-1</f>
        <v>3.8568482830880324E-2</v>
      </c>
      <c r="P18" s="256">
        <f>N18</f>
        <v>19538.399999999998</v>
      </c>
      <c r="Q18" s="258">
        <f>P18/L17-1</f>
        <v>3.8568482830880324E-2</v>
      </c>
    </row>
    <row r="19" spans="3:19" ht="12.75" customHeight="1">
      <c r="C19" s="1094">
        <f t="shared" si="0"/>
        <v>2010</v>
      </c>
      <c r="D19" s="1288" t="s">
        <v>259</v>
      </c>
      <c r="E19" s="703"/>
      <c r="F19" s="704" t="e">
        <f>#REF!</f>
        <v>#REF!</v>
      </c>
      <c r="G19" s="705" t="e">
        <f>#REF!</f>
        <v>#REF!</v>
      </c>
      <c r="H19" s="704" t="e">
        <f>#REF!</f>
        <v>#REF!</v>
      </c>
      <c r="I19" s="705" t="e">
        <f>#REF!</f>
        <v>#REF!</v>
      </c>
      <c r="J19" s="704" t="e">
        <f>#REF!</f>
        <v>#REF!</v>
      </c>
      <c r="K19" s="705" t="e">
        <f>#REF!</f>
        <v>#REF!</v>
      </c>
      <c r="L19" s="1095">
        <f>'[4]2001-2011 Contraloría Historico'!M43</f>
        <v>20994.358340882813</v>
      </c>
      <c r="M19" s="1096">
        <f>L19/L18-1</f>
        <v>7.4517787581522388E-2</v>
      </c>
      <c r="N19" s="1095">
        <f>L19</f>
        <v>20994.358340882813</v>
      </c>
      <c r="O19" s="1096">
        <f>N19/L18-1</f>
        <v>7.4517787581522388E-2</v>
      </c>
      <c r="P19" s="1095">
        <f>N19</f>
        <v>20994.358340882813</v>
      </c>
      <c r="Q19" s="1096">
        <f>P19/L18-1</f>
        <v>7.4517787581522388E-2</v>
      </c>
      <c r="R19" s="706"/>
      <c r="S19" s="247"/>
    </row>
    <row r="20" spans="3:19" ht="12.75" customHeight="1">
      <c r="C20" s="697">
        <f t="shared" si="0"/>
        <v>2011</v>
      </c>
      <c r="D20" s="1289"/>
      <c r="E20" s="994"/>
      <c r="F20" s="295" t="e">
        <f t="shared" ref="F20:F33" si="1">F19*(1+G20)</f>
        <v>#REF!</v>
      </c>
      <c r="G20" s="1097">
        <f>'[4]Tasas PIB INTRACORP'!H19/100</f>
        <v>1.7827949547141397E-2</v>
      </c>
      <c r="H20" s="295" t="e">
        <f t="shared" ref="H20:H33" si="2">H19*(1+I20)</f>
        <v>#REF!</v>
      </c>
      <c r="I20" s="1097">
        <f>'[4]Tasas PIB INTRACORP'!F19/100</f>
        <v>2.3443464982300322E-2</v>
      </c>
      <c r="J20" s="728" t="e">
        <f t="shared" ref="J20:J33" si="3">J19*(1+K20)</f>
        <v>#REF!</v>
      </c>
      <c r="K20" s="1097">
        <f>'[4]Tasas PIB INTRACORP'!J19/100</f>
        <v>1.4329266422529408E-2</v>
      </c>
      <c r="L20" s="256">
        <f>'[4]2001-2011 Contraloría Historico'!N43</f>
        <v>23271.994431204628</v>
      </c>
      <c r="M20" s="258">
        <f>L20/L19-1</f>
        <v>0.10848800679402149</v>
      </c>
      <c r="N20" s="256">
        <f>L20</f>
        <v>23271.994431204628</v>
      </c>
      <c r="O20" s="258">
        <f>N20/N19-1</f>
        <v>0.10848800679402149</v>
      </c>
      <c r="P20" s="256">
        <f>N20</f>
        <v>23271.994431204628</v>
      </c>
      <c r="Q20" s="258">
        <f>P20/P19-1</f>
        <v>0.10848800679402149</v>
      </c>
      <c r="R20" s="247"/>
      <c r="S20" s="247"/>
    </row>
    <row r="21" spans="3:19" ht="12.75" customHeight="1">
      <c r="C21" s="1098">
        <f t="shared" si="0"/>
        <v>2012</v>
      </c>
      <c r="D21" s="1290" t="s">
        <v>173</v>
      </c>
      <c r="E21" s="1099"/>
      <c r="F21" s="1100" t="e">
        <f t="shared" si="1"/>
        <v>#REF!</v>
      </c>
      <c r="G21" s="1101">
        <f>'[4]Tasas PIB INTRACORP'!H20/100</f>
        <v>7.1457881470191609E-3</v>
      </c>
      <c r="H21" s="1100" t="e">
        <f t="shared" si="2"/>
        <v>#REF!</v>
      </c>
      <c r="I21" s="1101">
        <f>'[4]Tasas PIB INTRACORP'!F20/100</f>
        <v>1.0167460734611611E-2</v>
      </c>
      <c r="J21" s="1102" t="e">
        <f t="shared" si="3"/>
        <v>#REF!</v>
      </c>
      <c r="K21" s="1101">
        <f>'[4]Tasas PIB INTRACORP'!J20/100</f>
        <v>3.1991001396958207E-3</v>
      </c>
      <c r="L21" s="1103">
        <f>'[4]PIB Estructural 2013 Est. 2T'!G43</f>
        <v>25752.182326359442</v>
      </c>
      <c r="M21" s="1104">
        <f>(L21/L20)-1</f>
        <v>0.10657392955668699</v>
      </c>
      <c r="N21" s="1103">
        <f>L21</f>
        <v>25752.182326359442</v>
      </c>
      <c r="O21" s="1104">
        <f>(N21/N20)-1</f>
        <v>0.10657392955668699</v>
      </c>
      <c r="P21" s="1103">
        <f>L21</f>
        <v>25752.182326359442</v>
      </c>
      <c r="Q21" s="1104">
        <f>(P21/P20)-1</f>
        <v>0.10657392955668699</v>
      </c>
      <c r="R21" s="1105"/>
      <c r="S21" s="247"/>
    </row>
    <row r="22" spans="3:19" ht="12.75" customHeight="1">
      <c r="C22" s="1106">
        <f t="shared" si="0"/>
        <v>2013</v>
      </c>
      <c r="D22" s="1291"/>
      <c r="E22" s="1107"/>
      <c r="F22" s="1108" t="e">
        <f t="shared" si="1"/>
        <v>#REF!</v>
      </c>
      <c r="G22" s="1109">
        <f>'[4]Tasas PIB INTRACORP'!H21/100</f>
        <v>3.4683864058343783E-2</v>
      </c>
      <c r="H22" s="1108" t="e">
        <f t="shared" si="2"/>
        <v>#REF!</v>
      </c>
      <c r="I22" s="1109">
        <f>'[4]Tasas PIB INTRACORP'!F21/100</f>
        <v>4.0534643272759796E-2</v>
      </c>
      <c r="J22" s="1110" t="e">
        <f t="shared" si="3"/>
        <v>#REF!</v>
      </c>
      <c r="K22" s="1109">
        <f>'[4]Tasas PIB INTRACORP'!J21/100</f>
        <v>3.1931182484568055E-2</v>
      </c>
      <c r="L22" s="1111">
        <f>'[4]PIB Estructural 2013 Est. 2T'!N42</f>
        <v>27734.651600513702</v>
      </c>
      <c r="M22" s="1112">
        <f>(L22/L21)-1</f>
        <v>7.698257371085182E-2</v>
      </c>
      <c r="N22" s="1111">
        <f>'[4]PIB Estructural 2013 Est. 2T'!K42</f>
        <v>28521.627822336774</v>
      </c>
      <c r="O22" s="1112">
        <f>(N22/N21)-1</f>
        <v>0.10754216714063025</v>
      </c>
      <c r="P22" s="1111">
        <f>'[4]PIB Estructural 2013 Est. 2T'!Q42</f>
        <v>26728.840462112963</v>
      </c>
      <c r="Q22" s="1112">
        <f>(P22/P21)-1</f>
        <v>3.7925257105446697E-2</v>
      </c>
      <c r="R22" s="1113"/>
    </row>
    <row r="23" spans="3:19" ht="15.75" customHeight="1">
      <c r="C23" s="707">
        <f t="shared" si="0"/>
        <v>2014</v>
      </c>
      <c r="D23" s="1292" t="s">
        <v>174</v>
      </c>
      <c r="E23" s="986"/>
      <c r="F23" s="260" t="e">
        <f t="shared" si="1"/>
        <v>#REF!</v>
      </c>
      <c r="G23" s="261">
        <f>'[4]Tasas PIB INTRACORP'!H22/100</f>
        <v>4.9845866522658877E-2</v>
      </c>
      <c r="H23" s="260" t="e">
        <f t="shared" si="2"/>
        <v>#REF!</v>
      </c>
      <c r="I23" s="261">
        <f>'[4]Tasas PIB INTRACORP'!F22/100</f>
        <v>5.4790543119996205E-2</v>
      </c>
      <c r="J23" s="262" t="e">
        <f t="shared" si="3"/>
        <v>#REF!</v>
      </c>
      <c r="K23" s="261">
        <f>'[4]Tasas PIB INTRACORP'!J22/100</f>
        <v>5.058854455705819E-2</v>
      </c>
      <c r="L23" s="262">
        <f>L22*(1+M23)</f>
        <v>29395.957231384473</v>
      </c>
      <c r="M23" s="261">
        <f>'[4]Pronosticos Publicados 2013-16 '!AB70/100</f>
        <v>5.9900000000000002E-2</v>
      </c>
      <c r="N23" s="262">
        <f t="shared" ref="N23:N36" si="4">N22*(1+O23)</f>
        <v>30660.749909012029</v>
      </c>
      <c r="O23" s="261">
        <f>'[4]Pronosticos Publicados 2013-16 '!AB69/100</f>
        <v>7.4999999999999997E-2</v>
      </c>
      <c r="P23" s="262">
        <f t="shared" ref="P23:P36" si="5">P22*(1+Q23)</f>
        <v>27797.994080597484</v>
      </c>
      <c r="Q23" s="261">
        <f>'[4]Pronosticos Publicados 2013-16 '!AB68/100</f>
        <v>0.04</v>
      </c>
    </row>
    <row r="24" spans="3:19">
      <c r="C24" s="269">
        <f t="shared" si="0"/>
        <v>2015</v>
      </c>
      <c r="D24" s="1293"/>
      <c r="E24" s="986"/>
      <c r="F24" s="260" t="e">
        <f t="shared" si="1"/>
        <v>#REF!</v>
      </c>
      <c r="G24" s="261">
        <f>'[4]Tasas PIB INTRACORP'!H23/100</f>
        <v>6.594366363212556E-2</v>
      </c>
      <c r="H24" s="260" t="e">
        <f t="shared" si="2"/>
        <v>#REF!</v>
      </c>
      <c r="I24" s="261">
        <f>'[4]Tasas PIB INTRACORP'!F23/100</f>
        <v>7.5785921466475781E-2</v>
      </c>
      <c r="J24" s="262" t="e">
        <f t="shared" si="3"/>
        <v>#REF!</v>
      </c>
      <c r="K24" s="261">
        <f>'[4]Tasas PIB INTRACORP'!J23/100</f>
        <v>5.9323306180322E-2</v>
      </c>
      <c r="L24" s="260">
        <f t="shared" ref="L24:L36" si="6">L23*(1+M24)</f>
        <v>31119.295224074387</v>
      </c>
      <c r="M24" s="261">
        <f>'[4]Pronosticos Publicados 2013-16 '!AG70/100</f>
        <v>5.8624999999999997E-2</v>
      </c>
      <c r="N24" s="260">
        <f t="shared" si="4"/>
        <v>32960.306152187928</v>
      </c>
      <c r="O24" s="261">
        <f>'[4]Pronosticos Publicados 2013-16 '!AG69/100</f>
        <v>7.4999999999999997E-2</v>
      </c>
      <c r="P24" s="260">
        <f t="shared" si="5"/>
        <v>28909.913843821385</v>
      </c>
      <c r="Q24" s="261">
        <f>'[4]Pronosticos Publicados 2013-16 '!AG68/100</f>
        <v>0.04</v>
      </c>
    </row>
    <row r="25" spans="3:19">
      <c r="C25" s="269">
        <f t="shared" si="0"/>
        <v>2016</v>
      </c>
      <c r="D25" s="1293"/>
      <c r="E25" s="986"/>
      <c r="F25" s="260" t="e">
        <f t="shared" si="1"/>
        <v>#REF!</v>
      </c>
      <c r="G25" s="261">
        <f>'[4]Tasas PIB INTRACORP'!H24/100</f>
        <v>4.2506132625568238E-2</v>
      </c>
      <c r="H25" s="260" t="e">
        <f t="shared" si="2"/>
        <v>#REF!</v>
      </c>
      <c r="I25" s="261">
        <f>'[4]Tasas PIB INTRACORP'!F24/100</f>
        <v>6.0823169287048007E-2</v>
      </c>
      <c r="J25" s="262" t="e">
        <f t="shared" si="3"/>
        <v>#REF!</v>
      </c>
      <c r="K25" s="261">
        <f>'[4]Tasas PIB INTRACORP'!J24/100</f>
        <v>2.8968999653568694E-2</v>
      </c>
      <c r="L25" s="260">
        <f t="shared" si="6"/>
        <v>33017.572232742925</v>
      </c>
      <c r="M25" s="261">
        <f>'[4]Pronosticos Publicados 2013-16 '!AL70/100</f>
        <v>6.0999999999999999E-2</v>
      </c>
      <c r="N25" s="260">
        <f t="shared" si="4"/>
        <v>35432.32911360202</v>
      </c>
      <c r="O25" s="261">
        <f>'[4]Pronosticos Publicados 2013-16 '!AL69/100</f>
        <v>7.4999999999999997E-2</v>
      </c>
      <c r="P25" s="260">
        <f t="shared" si="5"/>
        <v>30066.310397574242</v>
      </c>
      <c r="Q25" s="261">
        <f>'[4]Pronosticos Publicados 2013-16 '!AL68/100</f>
        <v>0.04</v>
      </c>
    </row>
    <row r="26" spans="3:19">
      <c r="C26" s="269">
        <f t="shared" si="0"/>
        <v>2017</v>
      </c>
      <c r="D26" s="1293"/>
      <c r="E26" s="986"/>
      <c r="F26" s="260" t="e">
        <f t="shared" si="1"/>
        <v>#REF!</v>
      </c>
      <c r="G26" s="261">
        <f>'[4]Tasas PIB INTRACORP'!H25/100</f>
        <v>4.4399012498071322E-2</v>
      </c>
      <c r="H26" s="260" t="e">
        <f t="shared" si="2"/>
        <v>#REF!</v>
      </c>
      <c r="I26" s="261">
        <f>'[4]Tasas PIB INTRACORP'!F25/100</f>
        <v>5.4883550568623374E-2</v>
      </c>
      <c r="J26" s="262" t="e">
        <f t="shared" si="3"/>
        <v>#REF!</v>
      </c>
      <c r="K26" s="261">
        <f>'[4]Tasas PIB INTRACORP'!J25/100</f>
        <v>3.7294741191534087E-2</v>
      </c>
      <c r="L26" s="260">
        <f>L25*(1+M26)</f>
        <v>34668.450844380073</v>
      </c>
      <c r="M26" s="261">
        <v>0.05</v>
      </c>
      <c r="N26" s="260">
        <f t="shared" si="4"/>
        <v>37735.430505986151</v>
      </c>
      <c r="O26" s="261">
        <v>6.5000000000000002E-2</v>
      </c>
      <c r="P26" s="260">
        <f t="shared" si="5"/>
        <v>31193.797037483277</v>
      </c>
      <c r="Q26" s="261">
        <v>3.7499999999999999E-2</v>
      </c>
    </row>
    <row r="27" spans="3:19">
      <c r="C27" s="269">
        <f t="shared" si="0"/>
        <v>2018</v>
      </c>
      <c r="D27" s="1293"/>
      <c r="E27" s="986"/>
      <c r="F27" s="260" t="e">
        <f t="shared" si="1"/>
        <v>#REF!</v>
      </c>
      <c r="G27" s="261">
        <f>'[4]Tasas PIB INTRACORP'!H26/100</f>
        <v>6.6297322253001001E-2</v>
      </c>
      <c r="H27" s="260" t="e">
        <f t="shared" si="2"/>
        <v>#REF!</v>
      </c>
      <c r="I27" s="261">
        <f>'[4]Tasas PIB INTRACORP'!F26/100</f>
        <v>7.4106224143698718E-2</v>
      </c>
      <c r="J27" s="262" t="e">
        <f t="shared" si="3"/>
        <v>#REF!</v>
      </c>
      <c r="K27" s="261">
        <f>'[4]Tasas PIB INTRACORP'!J26/100</f>
        <v>6.1875442599732322E-2</v>
      </c>
      <c r="L27" s="260">
        <f t="shared" si="6"/>
        <v>36401.87338659908</v>
      </c>
      <c r="M27" s="261">
        <v>0.05</v>
      </c>
      <c r="N27" s="260">
        <f t="shared" si="4"/>
        <v>40188.233488875252</v>
      </c>
      <c r="O27" s="261">
        <v>6.5000000000000002E-2</v>
      </c>
      <c r="P27" s="260">
        <f t="shared" si="5"/>
        <v>32363.564426388901</v>
      </c>
      <c r="Q27" s="261">
        <v>3.7499999999999999E-2</v>
      </c>
    </row>
    <row r="28" spans="3:19">
      <c r="C28" s="269">
        <f t="shared" si="0"/>
        <v>2019</v>
      </c>
      <c r="D28" s="1293"/>
      <c r="E28" s="986"/>
      <c r="F28" s="260" t="e">
        <f t="shared" si="1"/>
        <v>#REF!</v>
      </c>
      <c r="G28" s="261">
        <f>'[4]Tasas PIB INTRACORP'!H27/100</f>
        <v>5.3221337028056759E-2</v>
      </c>
      <c r="H28" s="260" t="e">
        <f t="shared" si="2"/>
        <v>#REF!</v>
      </c>
      <c r="I28" s="261">
        <f>'[4]Tasas PIB INTRACORP'!F27/100</f>
        <v>6.2094440633599035E-2</v>
      </c>
      <c r="J28" s="262" t="e">
        <f t="shared" si="3"/>
        <v>#REF!</v>
      </c>
      <c r="K28" s="261">
        <f>'[4]Tasas PIB INTRACORP'!J27/100</f>
        <v>4.8095180756370315E-2</v>
      </c>
      <c r="L28" s="260">
        <f t="shared" si="6"/>
        <v>38221.967055929039</v>
      </c>
      <c r="M28" s="261">
        <v>0.05</v>
      </c>
      <c r="N28" s="260">
        <f t="shared" si="4"/>
        <v>42800.468665652144</v>
      </c>
      <c r="O28" s="261">
        <v>6.5000000000000002E-2</v>
      </c>
      <c r="P28" s="260">
        <f t="shared" si="5"/>
        <v>33577.198092378487</v>
      </c>
      <c r="Q28" s="261">
        <v>3.7499999999999999E-2</v>
      </c>
    </row>
    <row r="29" spans="3:19">
      <c r="C29" s="269">
        <f t="shared" si="0"/>
        <v>2020</v>
      </c>
      <c r="D29" s="1293"/>
      <c r="E29" s="986"/>
      <c r="F29" s="260" t="e">
        <f t="shared" si="1"/>
        <v>#REF!</v>
      </c>
      <c r="G29" s="261">
        <f>'[4]Tasas PIB INTRACORP'!H28/100</f>
        <v>5.0342854323910835E-2</v>
      </c>
      <c r="H29" s="260" t="e">
        <f t="shared" si="2"/>
        <v>#REF!</v>
      </c>
      <c r="I29" s="261">
        <f>'[4]Tasas PIB INTRACORP'!F28/100</f>
        <v>5.8664578175514848E-2</v>
      </c>
      <c r="J29" s="262" t="e">
        <f t="shared" si="3"/>
        <v>#REF!</v>
      </c>
      <c r="K29" s="261">
        <f>'[4]Tasas PIB INTRACORP'!J28/100</f>
        <v>4.512374564205901E-2</v>
      </c>
      <c r="L29" s="260">
        <f t="shared" si="6"/>
        <v>40133.065408725495</v>
      </c>
      <c r="M29" s="261">
        <v>0.05</v>
      </c>
      <c r="N29" s="260">
        <f t="shared" si="4"/>
        <v>45582.499128919531</v>
      </c>
      <c r="O29" s="261">
        <v>6.5000000000000002E-2</v>
      </c>
      <c r="P29" s="260">
        <f t="shared" si="5"/>
        <v>34836.34302084268</v>
      </c>
      <c r="Q29" s="261">
        <v>3.7499999999999999E-2</v>
      </c>
    </row>
    <row r="30" spans="3:19">
      <c r="C30" s="269">
        <f t="shared" si="0"/>
        <v>2021</v>
      </c>
      <c r="D30" s="1293"/>
      <c r="E30" s="986"/>
      <c r="F30" s="260" t="e">
        <f t="shared" si="1"/>
        <v>#REF!</v>
      </c>
      <c r="G30" s="261">
        <f>'[4]Tasas PIB INTRACORP'!H29/100</f>
        <v>2.6160674447549548E-2</v>
      </c>
      <c r="H30" s="260" t="e">
        <f t="shared" si="2"/>
        <v>#REF!</v>
      </c>
      <c r="I30" s="261">
        <f>'[4]Tasas PIB INTRACORP'!F29/100</f>
        <v>3.7469584668569311E-2</v>
      </c>
      <c r="J30" s="262" t="e">
        <f t="shared" si="3"/>
        <v>#REF!</v>
      </c>
      <c r="K30" s="261">
        <f>'[4]Tasas PIB INTRACORP'!J29/100</f>
        <v>1.9097508487546655E-2</v>
      </c>
      <c r="L30" s="260">
        <f t="shared" si="6"/>
        <v>42139.718679161771</v>
      </c>
      <c r="M30" s="261">
        <v>0.05</v>
      </c>
      <c r="N30" s="260">
        <f t="shared" si="4"/>
        <v>48545.361572299298</v>
      </c>
      <c r="O30" s="261">
        <v>6.5000000000000002E-2</v>
      </c>
      <c r="P30" s="260">
        <f t="shared" si="5"/>
        <v>36142.705884124283</v>
      </c>
      <c r="Q30" s="261">
        <v>3.7499999999999999E-2</v>
      </c>
    </row>
    <row r="31" spans="3:19">
      <c r="C31" s="269">
        <f t="shared" si="0"/>
        <v>2022</v>
      </c>
      <c r="D31" s="1293"/>
      <c r="E31" s="986"/>
      <c r="F31" s="260" t="e">
        <f t="shared" si="1"/>
        <v>#REF!</v>
      </c>
      <c r="G31" s="261">
        <f>'[4]Tasas PIB INTRACORP'!H30/100</f>
        <v>3.8458017712886372E-2</v>
      </c>
      <c r="H31" s="260" t="e">
        <f t="shared" si="2"/>
        <v>#REF!</v>
      </c>
      <c r="I31" s="261">
        <f>'[4]Tasas PIB INTRACORP'!F30/100</f>
        <v>5.1553708115780417E-2</v>
      </c>
      <c r="J31" s="262" t="e">
        <f t="shared" si="3"/>
        <v>#REF!</v>
      </c>
      <c r="K31" s="261">
        <f>'[4]Tasas PIB INTRACORP'!J30/100</f>
        <v>3.2451045469631623E-2</v>
      </c>
      <c r="L31" s="260">
        <f t="shared" si="6"/>
        <v>44246.704613119859</v>
      </c>
      <c r="M31" s="261">
        <v>0.05</v>
      </c>
      <c r="N31" s="260">
        <f t="shared" si="4"/>
        <v>51458.083266637259</v>
      </c>
      <c r="O31" s="261">
        <v>0.06</v>
      </c>
      <c r="P31" s="260">
        <f t="shared" si="5"/>
        <v>37407.700590068627</v>
      </c>
      <c r="Q31" s="261">
        <v>3.5000000000000003E-2</v>
      </c>
    </row>
    <row r="32" spans="3:19">
      <c r="C32" s="269">
        <v>2023</v>
      </c>
      <c r="D32" s="1293"/>
      <c r="E32" s="986"/>
      <c r="F32" s="260" t="e">
        <f t="shared" si="1"/>
        <v>#REF!</v>
      </c>
      <c r="G32" s="261">
        <f>'[4]Tasas PIB INTRACORP'!H31/100</f>
        <v>4.350173544157343E-2</v>
      </c>
      <c r="H32" s="260" t="e">
        <f t="shared" si="2"/>
        <v>#REF!</v>
      </c>
      <c r="I32" s="261">
        <f>'[4]Tasas PIB INTRACORP'!F31/100</f>
        <v>5.8722200797017621E-2</v>
      </c>
      <c r="J32" s="262" t="e">
        <f t="shared" si="3"/>
        <v>#REF!</v>
      </c>
      <c r="K32" s="261">
        <f>'[4]Tasas PIB INTRACORP'!J31/100</f>
        <v>3.7466547725245158E-2</v>
      </c>
      <c r="L32" s="260">
        <f t="shared" si="6"/>
        <v>46459.039843775856</v>
      </c>
      <c r="M32" s="261">
        <v>0.05</v>
      </c>
      <c r="N32" s="260">
        <f t="shared" si="4"/>
        <v>54545.568262635497</v>
      </c>
      <c r="O32" s="261">
        <v>0.06</v>
      </c>
      <c r="P32" s="260">
        <f t="shared" si="5"/>
        <v>38716.970110721028</v>
      </c>
      <c r="Q32" s="261">
        <v>3.5000000000000003E-2</v>
      </c>
    </row>
    <row r="33" spans="3:19">
      <c r="C33" s="269">
        <v>2024</v>
      </c>
      <c r="D33" s="1293"/>
      <c r="E33" s="986"/>
      <c r="F33" s="260" t="e">
        <f t="shared" si="1"/>
        <v>#REF!</v>
      </c>
      <c r="G33" s="261">
        <f>'[4]Tasas PIB INTRACORP'!H32/100</f>
        <v>6.046270973464396E-2</v>
      </c>
      <c r="H33" s="260" t="e">
        <f t="shared" si="2"/>
        <v>#REF!</v>
      </c>
      <c r="I33" s="261">
        <f>'[4]Tasas PIB INTRACORP'!F32/100</f>
        <v>7.0296753199446504E-2</v>
      </c>
      <c r="J33" s="262" t="e">
        <f t="shared" si="3"/>
        <v>#REF!</v>
      </c>
      <c r="K33" s="261">
        <f>'[4]Tasas PIB INTRACORP'!J32/100</f>
        <v>5.659873114731262E-2</v>
      </c>
      <c r="L33" s="260">
        <f t="shared" si="6"/>
        <v>48781.991835964647</v>
      </c>
      <c r="M33" s="261">
        <v>0.05</v>
      </c>
      <c r="N33" s="260">
        <f t="shared" si="4"/>
        <v>57818.30235839363</v>
      </c>
      <c r="O33" s="261">
        <v>0.06</v>
      </c>
      <c r="P33" s="260">
        <f t="shared" si="5"/>
        <v>40072.064064596263</v>
      </c>
      <c r="Q33" s="261">
        <v>3.5000000000000003E-2</v>
      </c>
    </row>
    <row r="34" spans="3:19">
      <c r="C34" s="269">
        <v>2025</v>
      </c>
      <c r="D34" s="1293"/>
      <c r="E34" s="986"/>
      <c r="F34" s="260"/>
      <c r="G34" s="261"/>
      <c r="H34" s="260"/>
      <c r="I34" s="261"/>
      <c r="J34" s="262"/>
      <c r="K34" s="261"/>
      <c r="L34" s="260">
        <f t="shared" si="6"/>
        <v>51221.091427762884</v>
      </c>
      <c r="M34" s="261">
        <v>0.05</v>
      </c>
      <c r="N34" s="260">
        <f t="shared" si="4"/>
        <v>61287.400499897252</v>
      </c>
      <c r="O34" s="261">
        <v>0.06</v>
      </c>
      <c r="P34" s="260">
        <f t="shared" si="5"/>
        <v>41474.586306857127</v>
      </c>
      <c r="Q34" s="261">
        <v>3.5000000000000003E-2</v>
      </c>
    </row>
    <row r="35" spans="3:19">
      <c r="C35" s="269">
        <v>2026</v>
      </c>
      <c r="D35" s="1293"/>
      <c r="E35" s="986"/>
      <c r="F35" s="260"/>
      <c r="G35" s="261"/>
      <c r="H35" s="260"/>
      <c r="I35" s="261"/>
      <c r="J35" s="262"/>
      <c r="K35" s="261"/>
      <c r="L35" s="260">
        <f t="shared" si="6"/>
        <v>53782.145999151027</v>
      </c>
      <c r="M35" s="261">
        <v>0.05</v>
      </c>
      <c r="N35" s="260">
        <f t="shared" si="4"/>
        <v>64964.644529891091</v>
      </c>
      <c r="O35" s="261">
        <v>0.06</v>
      </c>
      <c r="P35" s="260">
        <f t="shared" si="5"/>
        <v>42926.196827597123</v>
      </c>
      <c r="Q35" s="261">
        <v>3.5000000000000003E-2</v>
      </c>
    </row>
    <row r="36" spans="3:19">
      <c r="C36" s="269">
        <v>2027</v>
      </c>
      <c r="D36" s="1293"/>
      <c r="E36" s="986"/>
      <c r="F36" s="260"/>
      <c r="G36" s="261"/>
      <c r="H36" s="260"/>
      <c r="I36" s="261"/>
      <c r="J36" s="262"/>
      <c r="K36" s="261"/>
      <c r="L36" s="260">
        <f t="shared" si="6"/>
        <v>56471.253299108583</v>
      </c>
      <c r="M36" s="261">
        <v>0.05</v>
      </c>
      <c r="N36" s="260">
        <f t="shared" si="4"/>
        <v>68862.523201684555</v>
      </c>
      <c r="O36" s="261">
        <v>0.06</v>
      </c>
      <c r="P36" s="260">
        <f t="shared" si="5"/>
        <v>44428.613716563021</v>
      </c>
      <c r="Q36" s="261">
        <v>3.5000000000000003E-2</v>
      </c>
    </row>
    <row r="37" spans="3:19">
      <c r="C37" s="708"/>
      <c r="D37" s="708"/>
      <c r="E37" s="708"/>
      <c r="F37" s="709"/>
      <c r="G37" s="710"/>
      <c r="H37" s="709"/>
      <c r="I37" s="711"/>
      <c r="J37" s="711"/>
      <c r="K37" s="711"/>
      <c r="L37" s="709"/>
      <c r="M37" s="712"/>
      <c r="N37" s="709"/>
      <c r="O37" s="711"/>
      <c r="P37" s="708"/>
      <c r="Q37" s="708"/>
      <c r="R37" s="708"/>
      <c r="S37" s="247"/>
    </row>
    <row r="38" spans="3:19">
      <c r="F38" s="260"/>
      <c r="G38" s="263"/>
      <c r="H38" s="260"/>
      <c r="I38" s="264"/>
      <c r="J38" s="264"/>
      <c r="K38" s="264"/>
      <c r="L38" s="260"/>
      <c r="M38" s="265"/>
      <c r="N38" s="260"/>
      <c r="O38" s="264"/>
    </row>
    <row r="39" spans="3:19" ht="15.75">
      <c r="C39" s="266" t="s">
        <v>175</v>
      </c>
      <c r="I39" s="260"/>
      <c r="J39" s="260"/>
      <c r="K39" s="260"/>
    </row>
    <row r="40" spans="3:19" ht="5.25" customHeight="1">
      <c r="C40" s="266"/>
      <c r="I40" s="260"/>
      <c r="J40" s="260"/>
      <c r="K40" s="260"/>
    </row>
    <row r="41" spans="3:19">
      <c r="C41" s="267" t="s">
        <v>176</v>
      </c>
      <c r="E41" s="988" t="s">
        <v>178</v>
      </c>
      <c r="I41" s="260"/>
      <c r="J41" s="260"/>
      <c r="K41" s="260"/>
      <c r="L41" s="988" t="s">
        <v>177</v>
      </c>
    </row>
    <row r="42" spans="3:19">
      <c r="C42" s="268" t="s">
        <v>430</v>
      </c>
      <c r="D42" s="239" t="s">
        <v>635</v>
      </c>
      <c r="E42" s="270" t="s">
        <v>431</v>
      </c>
      <c r="G42" s="271" t="e">
        <f>AVERAGE(G15:G32)</f>
        <v>#REF!</v>
      </c>
      <c r="H42" s="265"/>
      <c r="I42" s="271" t="e">
        <f>AVERAGE(I15:I32)</f>
        <v>#REF!</v>
      </c>
      <c r="J42" s="272"/>
      <c r="K42" s="271" t="e">
        <f>AVERAGE(K15:K32)</f>
        <v>#REF!</v>
      </c>
      <c r="L42" s="269">
        <f>C36-C15+1</f>
        <v>22</v>
      </c>
      <c r="M42" s="271">
        <f>AVERAGE(M15:M36)</f>
        <v>6.5555881100356622E-2</v>
      </c>
      <c r="N42" s="265"/>
      <c r="O42" s="271">
        <f>AVERAGE(O15:O36)</f>
        <v>7.5148362619891981E-2</v>
      </c>
      <c r="Q42" s="271">
        <f>AVERAGE(Q15:R36)</f>
        <v>5.4143048527383629E-2</v>
      </c>
    </row>
    <row r="43" spans="3:19" ht="6" customHeight="1">
      <c r="C43" s="240"/>
      <c r="G43" s="271"/>
      <c r="H43" s="265"/>
      <c r="I43" s="271"/>
      <c r="J43" s="272"/>
      <c r="K43" s="271"/>
      <c r="L43" s="269"/>
      <c r="M43" s="271"/>
      <c r="N43" s="265"/>
      <c r="O43" s="271"/>
      <c r="Q43" s="271"/>
    </row>
    <row r="44" spans="3:19">
      <c r="C44" s="240" t="s">
        <v>180</v>
      </c>
      <c r="D44" s="239" t="s">
        <v>636</v>
      </c>
      <c r="E44" s="273" t="s">
        <v>334</v>
      </c>
      <c r="G44" s="271" t="e">
        <f>RATE($C18-$C14,,-'[4]2001-2011 Contraloría Historico'!$H$43,F18)</f>
        <v>#REF!</v>
      </c>
      <c r="H44" s="265"/>
      <c r="I44" s="271" t="e">
        <f>RATE($C18-$C14,,-'[4]2001-2011 Contraloría Historico'!$H$43,H18)</f>
        <v>#REF!</v>
      </c>
      <c r="J44" s="272"/>
      <c r="K44" s="271" t="e">
        <f>RATE($C18-$C14,,-'[4]2001-2011 Contraloría Historico'!$H$43,J18)</f>
        <v>#REF!</v>
      </c>
      <c r="L44" s="269">
        <f>C20-C15+1</f>
        <v>6</v>
      </c>
      <c r="M44" s="271">
        <f>RATE($C20-$C15,,-L15,L20)</f>
        <v>8.8372868647430186E-2</v>
      </c>
      <c r="N44" s="265"/>
      <c r="O44" s="271">
        <f>RATE($C20-$C15,,-N15,N20)</f>
        <v>8.8372868647430186E-2</v>
      </c>
      <c r="Q44" s="271">
        <f>RATE($C20-$C15,,-P15,P20)</f>
        <v>8.8372868647430186E-2</v>
      </c>
    </row>
    <row r="45" spans="3:19">
      <c r="C45" s="240" t="s">
        <v>181</v>
      </c>
      <c r="D45" s="239" t="s">
        <v>637</v>
      </c>
      <c r="E45" s="273" t="s">
        <v>432</v>
      </c>
      <c r="G45" s="271" t="e">
        <f>RATE($C32-$C18,,-F18,F32)</f>
        <v>#REF!</v>
      </c>
      <c r="I45" s="271" t="e">
        <f>RATE($C32-$C18,,-H18,H32)</f>
        <v>#REF!</v>
      </c>
      <c r="K45" s="271" t="e">
        <f>RATE($C32-$C18,,-J18,J32)</f>
        <v>#REF!</v>
      </c>
      <c r="L45" s="269">
        <f>C36-C22+1</f>
        <v>15</v>
      </c>
      <c r="M45" s="271">
        <f>RATE($C36-$C22,,-L22,L36)</f>
        <v>5.210111148100198E-2</v>
      </c>
      <c r="O45" s="271">
        <f>RATE($C36-$C22,,-N22,N36)</f>
        <v>6.4984956298908853E-2</v>
      </c>
      <c r="Q45" s="271">
        <f>RATE($C36-$C22,,-P22,P36)</f>
        <v>3.696248764155622E-2</v>
      </c>
    </row>
    <row r="46" spans="3:19">
      <c r="C46" s="240" t="s">
        <v>182</v>
      </c>
      <c r="D46" s="239" t="s">
        <v>638</v>
      </c>
      <c r="E46" s="273" t="s">
        <v>433</v>
      </c>
      <c r="G46" s="271" t="e">
        <f>RATE($C21-$C17,,-F17,F21)</f>
        <v>#REF!</v>
      </c>
      <c r="I46" s="271" t="e">
        <f>RATE($C21-$C18,,-H18,H21)</f>
        <v>#REF!</v>
      </c>
      <c r="K46" s="271" t="e">
        <f>RATE($C21-$C18,,-J18,J21)</f>
        <v>#REF!</v>
      </c>
      <c r="L46" s="269">
        <f>C25-C22+1</f>
        <v>4</v>
      </c>
      <c r="M46" s="271">
        <f>RATE($C25-$C22,,-L22,L25)</f>
        <v>5.9841222327813165E-2</v>
      </c>
      <c r="O46" s="271">
        <f>RATE($C25-$C22,,-N22,N25)</f>
        <v>7.5000000000098585E-2</v>
      </c>
      <c r="Q46" s="271">
        <f>RATE($C25-$C22,,-P22,P25)</f>
        <v>3.999999999999998E-2</v>
      </c>
    </row>
    <row r="47" spans="3:19">
      <c r="C47" s="240" t="s">
        <v>183</v>
      </c>
      <c r="D47" s="239" t="s">
        <v>639</v>
      </c>
      <c r="E47" s="273" t="s">
        <v>434</v>
      </c>
      <c r="G47" s="271" t="e">
        <f>RATE($C27-$C21,,-F21,F27)</f>
        <v>#REF!</v>
      </c>
      <c r="I47" s="271" t="e">
        <f>RATE($C27-$C21,,-H21,H27)</f>
        <v>#REF!</v>
      </c>
      <c r="K47" s="271" t="e">
        <f>RATE($C27-$C21,,-J21,J27)</f>
        <v>#REF!</v>
      </c>
      <c r="L47" s="269">
        <f>C29-C26+1</f>
        <v>4</v>
      </c>
      <c r="M47" s="271">
        <f>RATE($C29-$C26,,-L26,L29)</f>
        <v>5.0000000000000176E-2</v>
      </c>
      <c r="O47" s="271">
        <f>RATE($C29-$C26,,-N26,N29)</f>
        <v>6.4999999999999974E-2</v>
      </c>
      <c r="Q47" s="271">
        <f>RATE($C29-$C26,,-P26,P29)</f>
        <v>3.7500000000000047E-2</v>
      </c>
    </row>
    <row r="48" spans="3:19">
      <c r="C48" s="240" t="s">
        <v>184</v>
      </c>
      <c r="D48" s="239" t="s">
        <v>640</v>
      </c>
      <c r="E48" s="273" t="s">
        <v>331</v>
      </c>
      <c r="G48" s="271" t="e">
        <f>RATE($C32-$C27,,-F27,F32)</f>
        <v>#REF!</v>
      </c>
      <c r="I48" s="271" t="e">
        <f>RATE($C32-$C27,,-H27,H32)</f>
        <v>#REF!</v>
      </c>
      <c r="K48" s="271" t="e">
        <f>RATE($C32-$C27,,-J27,J32)</f>
        <v>#REF!</v>
      </c>
      <c r="L48" s="269">
        <f>C36-C30+1</f>
        <v>7</v>
      </c>
      <c r="M48" s="271">
        <f>RATE($C36-$C30,,-L30,L36)</f>
        <v>5.0000000000226259E-2</v>
      </c>
      <c r="O48" s="271">
        <f>RATE($C36-$C30,,-N30,N36)</f>
        <v>6.0000000000013466E-2</v>
      </c>
      <c r="Q48" s="271">
        <f>RATE($C36-$C30,,-P30,P36)</f>
        <v>3.499999999999992E-2</v>
      </c>
    </row>
    <row r="49" spans="1:19">
      <c r="C49" s="240" t="s">
        <v>435</v>
      </c>
      <c r="D49" s="239" t="s">
        <v>641</v>
      </c>
      <c r="E49" s="273" t="s">
        <v>436</v>
      </c>
      <c r="L49" s="269">
        <f>C36-C26</f>
        <v>10</v>
      </c>
      <c r="M49" s="271">
        <f>RATE($C36-$C26,,-L26,L36)</f>
        <v>5.0000000000000502E-2</v>
      </c>
      <c r="O49" s="271">
        <f>RATE($C36-$C26,,-N26,N36)</f>
        <v>6.1997176909536121E-2</v>
      </c>
      <c r="Q49" s="271">
        <f>RATE($C36-$C26,,-P26,P36)</f>
        <v>3.5999276294414975E-2</v>
      </c>
    </row>
    <row r="50" spans="1:19">
      <c r="C50" s="708"/>
      <c r="D50" s="708"/>
      <c r="E50" s="708"/>
      <c r="F50" s="708"/>
      <c r="G50" s="708"/>
      <c r="H50" s="708"/>
      <c r="I50" s="708"/>
      <c r="J50" s="708"/>
      <c r="K50" s="708"/>
      <c r="L50" s="708"/>
      <c r="M50" s="708"/>
      <c r="N50" s="708"/>
      <c r="O50" s="708"/>
      <c r="P50" s="708"/>
      <c r="Q50" s="708"/>
      <c r="R50" s="708"/>
      <c r="S50" s="247"/>
    </row>
    <row r="52" spans="1:19" hidden="1">
      <c r="A52" s="238" t="s">
        <v>185</v>
      </c>
      <c r="B52" s="713" t="s">
        <v>642</v>
      </c>
      <c r="E52" s="714"/>
      <c r="F52" s="714"/>
      <c r="G52" s="714"/>
      <c r="H52" s="714"/>
      <c r="I52" s="714"/>
      <c r="J52" s="714"/>
      <c r="K52" s="714"/>
      <c r="L52" s="714"/>
    </row>
    <row r="53" spans="1:19" hidden="1">
      <c r="B53" s="713" t="s">
        <v>437</v>
      </c>
      <c r="E53" s="714"/>
      <c r="F53" s="714"/>
      <c r="G53" s="714"/>
      <c r="H53" s="714"/>
      <c r="I53" s="714"/>
      <c r="J53" s="714"/>
      <c r="K53" s="714"/>
      <c r="L53" s="714"/>
    </row>
    <row r="54" spans="1:19" hidden="1">
      <c r="B54" s="714" t="s">
        <v>438</v>
      </c>
      <c r="E54" s="714"/>
      <c r="F54" s="714"/>
      <c r="G54" s="714"/>
      <c r="H54" s="714"/>
      <c r="I54" s="714"/>
      <c r="J54" s="714"/>
      <c r="K54" s="714"/>
      <c r="L54" s="714"/>
    </row>
    <row r="55" spans="1:19" hidden="1">
      <c r="B55" s="713" t="s">
        <v>439</v>
      </c>
      <c r="E55" s="714"/>
      <c r="F55" s="714"/>
      <c r="G55" s="714"/>
      <c r="H55" s="714"/>
      <c r="I55" s="714"/>
      <c r="J55" s="714"/>
      <c r="K55" s="714"/>
      <c r="L55" s="714"/>
    </row>
    <row r="56" spans="1:19" hidden="1">
      <c r="B56" s="714" t="s">
        <v>440</v>
      </c>
      <c r="E56" s="714"/>
      <c r="F56" s="714"/>
      <c r="G56" s="714"/>
      <c r="H56" s="714"/>
      <c r="I56" s="714"/>
      <c r="J56" s="714"/>
      <c r="K56" s="714"/>
      <c r="L56" s="714"/>
    </row>
    <row r="57" spans="1:19" hidden="1">
      <c r="B57" s="713" t="s">
        <v>441</v>
      </c>
      <c r="E57" s="714"/>
      <c r="F57" s="714"/>
      <c r="G57" s="714"/>
      <c r="H57" s="714"/>
      <c r="I57" s="714"/>
      <c r="J57" s="714"/>
      <c r="K57" s="714"/>
      <c r="L57" s="714"/>
    </row>
    <row r="58" spans="1:19" hidden="1">
      <c r="B58" s="713" t="s">
        <v>442</v>
      </c>
      <c r="E58" s="714"/>
      <c r="F58" s="714"/>
      <c r="G58" s="714"/>
      <c r="H58" s="714"/>
      <c r="I58" s="714"/>
      <c r="J58" s="714"/>
      <c r="K58" s="714"/>
      <c r="L58" s="714"/>
    </row>
    <row r="59" spans="1:19" hidden="1">
      <c r="B59" s="713" t="s">
        <v>443</v>
      </c>
      <c r="E59" s="714"/>
      <c r="F59" s="714"/>
      <c r="G59" s="714"/>
      <c r="H59" s="714"/>
      <c r="I59" s="714"/>
      <c r="J59" s="714"/>
      <c r="K59" s="714"/>
      <c r="L59" s="714"/>
    </row>
    <row r="60" spans="1:19" hidden="1">
      <c r="B60" s="713" t="s">
        <v>444</v>
      </c>
      <c r="E60" s="714"/>
      <c r="F60" s="714"/>
      <c r="G60" s="714"/>
      <c r="H60" s="714"/>
      <c r="I60" s="714"/>
      <c r="J60" s="714"/>
      <c r="K60" s="714"/>
      <c r="L60" s="714"/>
    </row>
    <row r="61" spans="1:19" hidden="1">
      <c r="B61" s="713" t="s">
        <v>445</v>
      </c>
      <c r="E61" s="714"/>
      <c r="F61" s="714"/>
      <c r="G61" s="714"/>
      <c r="H61" s="714"/>
      <c r="I61" s="714"/>
      <c r="J61" s="714"/>
      <c r="K61" s="714"/>
      <c r="L61" s="714"/>
    </row>
    <row r="62" spans="1:19" hidden="1">
      <c r="B62" s="713" t="s">
        <v>446</v>
      </c>
      <c r="E62" s="714"/>
      <c r="F62" s="714"/>
      <c r="G62" s="714"/>
      <c r="H62" s="714"/>
      <c r="I62" s="714"/>
      <c r="J62" s="714"/>
      <c r="K62" s="714"/>
      <c r="L62" s="714"/>
    </row>
    <row r="64" spans="1:19">
      <c r="A64" s="238" t="s">
        <v>186</v>
      </c>
      <c r="B64" s="318" t="s">
        <v>643</v>
      </c>
      <c r="C64" s="318"/>
      <c r="Q64" s="1114">
        <v>41214</v>
      </c>
    </row>
    <row r="65" spans="2:3">
      <c r="B65" s="318"/>
      <c r="C65" s="318"/>
    </row>
    <row r="66" spans="2:3">
      <c r="B66" s="318"/>
      <c r="C66" s="318"/>
    </row>
  </sheetData>
  <mergeCells count="13">
    <mergeCell ref="D14:D18"/>
    <mergeCell ref="D19:D20"/>
    <mergeCell ref="D21:D22"/>
    <mergeCell ref="D23:D36"/>
    <mergeCell ref="C4:Q4"/>
    <mergeCell ref="C5:Q5"/>
    <mergeCell ref="C6:Q6"/>
    <mergeCell ref="C8:C12"/>
    <mergeCell ref="F8:K8"/>
    <mergeCell ref="L8:Q8"/>
    <mergeCell ref="L10:M10"/>
    <mergeCell ref="N10:O10"/>
    <mergeCell ref="P10:Q10"/>
  </mergeCells>
  <printOptions horizontalCentered="1"/>
  <pageMargins left="0.39370078740157483" right="0.39370078740157483" top="0.98425196850393704" bottom="0.98425196850393704" header="0.59055118110236227" footer="0.59055118110236227"/>
  <pageSetup scale="70" orientation="landscape" r:id="rId1"/>
  <headerFooter alignWithMargins="0">
    <oddFooter>&amp;L&amp;8ESTUDIO  BASICO DE LA DEMANDA 2008-2022
&amp;D &amp;T&amp;R&amp;8&amp;F/ &amp;A</oddFooter>
  </headerFooter>
  <drawing r:id="rId2"/>
</worksheet>
</file>

<file path=xl/worksheets/sheet9.xml><?xml version="1.0" encoding="utf-8"?>
<worksheet xmlns="http://schemas.openxmlformats.org/spreadsheetml/2006/main" xmlns:r="http://schemas.openxmlformats.org/officeDocument/2006/relationships">
  <sheetPr>
    <tabColor rgb="FFFF0000"/>
    <pageSetUpPr fitToPage="1"/>
  </sheetPr>
  <dimension ref="C3:AD79"/>
  <sheetViews>
    <sheetView topLeftCell="C16" workbookViewId="0">
      <selection activeCell="K22" sqref="K22"/>
    </sheetView>
  </sheetViews>
  <sheetFormatPr baseColWidth="10" defaultRowHeight="12.75"/>
  <cols>
    <col min="1" max="1" width="11.42578125" style="238"/>
    <col min="2" max="2" width="1.7109375" style="238" customWidth="1"/>
    <col min="3" max="16" width="11.42578125" style="238"/>
    <col min="17" max="17" width="12.28515625" style="238" bestFit="1" customWidth="1"/>
    <col min="18" max="19" width="11.42578125" style="238"/>
    <col min="20" max="21" width="3.140625" style="238" customWidth="1"/>
    <col min="22" max="22" width="6.85546875" style="238" customWidth="1"/>
    <col min="23" max="23" width="3.140625" style="238" customWidth="1"/>
    <col min="24" max="24" width="9" style="238" customWidth="1"/>
    <col min="25" max="25" width="7.7109375" style="238" customWidth="1"/>
    <col min="26" max="26" width="7.5703125" style="238" customWidth="1"/>
    <col min="27" max="27" width="3.140625" style="238" customWidth="1"/>
    <col min="28" max="257" width="11.42578125" style="238"/>
    <col min="258" max="258" width="1.7109375" style="238" customWidth="1"/>
    <col min="259" max="272" width="11.42578125" style="238"/>
    <col min="273" max="273" width="12.28515625" style="238" bestFit="1" customWidth="1"/>
    <col min="274" max="275" width="11.42578125" style="238"/>
    <col min="276" max="277" width="3.140625" style="238" customWidth="1"/>
    <col min="278" max="278" width="6.85546875" style="238" customWidth="1"/>
    <col min="279" max="279" width="3.140625" style="238" customWidth="1"/>
    <col min="280" max="280" width="9" style="238" customWidth="1"/>
    <col min="281" max="281" width="7.7109375" style="238" customWidth="1"/>
    <col min="282" max="282" width="7.5703125" style="238" customWidth="1"/>
    <col min="283" max="283" width="3.140625" style="238" customWidth="1"/>
    <col min="284" max="513" width="11.42578125" style="238"/>
    <col min="514" max="514" width="1.7109375" style="238" customWidth="1"/>
    <col min="515" max="528" width="11.42578125" style="238"/>
    <col min="529" max="529" width="12.28515625" style="238" bestFit="1" customWidth="1"/>
    <col min="530" max="531" width="11.42578125" style="238"/>
    <col min="532" max="533" width="3.140625" style="238" customWidth="1"/>
    <col min="534" max="534" width="6.85546875" style="238" customWidth="1"/>
    <col min="535" max="535" width="3.140625" style="238" customWidth="1"/>
    <col min="536" max="536" width="9" style="238" customWidth="1"/>
    <col min="537" max="537" width="7.7109375" style="238" customWidth="1"/>
    <col min="538" max="538" width="7.5703125" style="238" customWidth="1"/>
    <col min="539" max="539" width="3.140625" style="238" customWidth="1"/>
    <col min="540" max="769" width="11.42578125" style="238"/>
    <col min="770" max="770" width="1.7109375" style="238" customWidth="1"/>
    <col min="771" max="784" width="11.42578125" style="238"/>
    <col min="785" max="785" width="12.28515625" style="238" bestFit="1" customWidth="1"/>
    <col min="786" max="787" width="11.42578125" style="238"/>
    <col min="788" max="789" width="3.140625" style="238" customWidth="1"/>
    <col min="790" max="790" width="6.85546875" style="238" customWidth="1"/>
    <col min="791" max="791" width="3.140625" style="238" customWidth="1"/>
    <col min="792" max="792" width="9" style="238" customWidth="1"/>
    <col min="793" max="793" width="7.7109375" style="238" customWidth="1"/>
    <col min="794" max="794" width="7.5703125" style="238" customWidth="1"/>
    <col min="795" max="795" width="3.140625" style="238" customWidth="1"/>
    <col min="796" max="1025" width="11.42578125" style="238"/>
    <col min="1026" max="1026" width="1.7109375" style="238" customWidth="1"/>
    <col min="1027" max="1040" width="11.42578125" style="238"/>
    <col min="1041" max="1041" width="12.28515625" style="238" bestFit="1" customWidth="1"/>
    <col min="1042" max="1043" width="11.42578125" style="238"/>
    <col min="1044" max="1045" width="3.140625" style="238" customWidth="1"/>
    <col min="1046" max="1046" width="6.85546875" style="238" customWidth="1"/>
    <col min="1047" max="1047" width="3.140625" style="238" customWidth="1"/>
    <col min="1048" max="1048" width="9" style="238" customWidth="1"/>
    <col min="1049" max="1049" width="7.7109375" style="238" customWidth="1"/>
    <col min="1050" max="1050" width="7.5703125" style="238" customWidth="1"/>
    <col min="1051" max="1051" width="3.140625" style="238" customWidth="1"/>
    <col min="1052" max="1281" width="11.42578125" style="238"/>
    <col min="1282" max="1282" width="1.7109375" style="238" customWidth="1"/>
    <col min="1283" max="1296" width="11.42578125" style="238"/>
    <col min="1297" max="1297" width="12.28515625" style="238" bestFit="1" customWidth="1"/>
    <col min="1298" max="1299" width="11.42578125" style="238"/>
    <col min="1300" max="1301" width="3.140625" style="238" customWidth="1"/>
    <col min="1302" max="1302" width="6.85546875" style="238" customWidth="1"/>
    <col min="1303" max="1303" width="3.140625" style="238" customWidth="1"/>
    <col min="1304" max="1304" width="9" style="238" customWidth="1"/>
    <col min="1305" max="1305" width="7.7109375" style="238" customWidth="1"/>
    <col min="1306" max="1306" width="7.5703125" style="238" customWidth="1"/>
    <col min="1307" max="1307" width="3.140625" style="238" customWidth="1"/>
    <col min="1308" max="1537" width="11.42578125" style="238"/>
    <col min="1538" max="1538" width="1.7109375" style="238" customWidth="1"/>
    <col min="1539" max="1552" width="11.42578125" style="238"/>
    <col min="1553" max="1553" width="12.28515625" style="238" bestFit="1" customWidth="1"/>
    <col min="1554" max="1555" width="11.42578125" style="238"/>
    <col min="1556" max="1557" width="3.140625" style="238" customWidth="1"/>
    <col min="1558" max="1558" width="6.85546875" style="238" customWidth="1"/>
    <col min="1559" max="1559" width="3.140625" style="238" customWidth="1"/>
    <col min="1560" max="1560" width="9" style="238" customWidth="1"/>
    <col min="1561" max="1561" width="7.7109375" style="238" customWidth="1"/>
    <col min="1562" max="1562" width="7.5703125" style="238" customWidth="1"/>
    <col min="1563" max="1563" width="3.140625" style="238" customWidth="1"/>
    <col min="1564" max="1793" width="11.42578125" style="238"/>
    <col min="1794" max="1794" width="1.7109375" style="238" customWidth="1"/>
    <col min="1795" max="1808" width="11.42578125" style="238"/>
    <col min="1809" max="1809" width="12.28515625" style="238" bestFit="1" customWidth="1"/>
    <col min="1810" max="1811" width="11.42578125" style="238"/>
    <col min="1812" max="1813" width="3.140625" style="238" customWidth="1"/>
    <col min="1814" max="1814" width="6.85546875" style="238" customWidth="1"/>
    <col min="1815" max="1815" width="3.140625" style="238" customWidth="1"/>
    <col min="1816" max="1816" width="9" style="238" customWidth="1"/>
    <col min="1817" max="1817" width="7.7109375" style="238" customWidth="1"/>
    <col min="1818" max="1818" width="7.5703125" style="238" customWidth="1"/>
    <col min="1819" max="1819" width="3.140625" style="238" customWidth="1"/>
    <col min="1820" max="2049" width="11.42578125" style="238"/>
    <col min="2050" max="2050" width="1.7109375" style="238" customWidth="1"/>
    <col min="2051" max="2064" width="11.42578125" style="238"/>
    <col min="2065" max="2065" width="12.28515625" style="238" bestFit="1" customWidth="1"/>
    <col min="2066" max="2067" width="11.42578125" style="238"/>
    <col min="2068" max="2069" width="3.140625" style="238" customWidth="1"/>
    <col min="2070" max="2070" width="6.85546875" style="238" customWidth="1"/>
    <col min="2071" max="2071" width="3.140625" style="238" customWidth="1"/>
    <col min="2072" max="2072" width="9" style="238" customWidth="1"/>
    <col min="2073" max="2073" width="7.7109375" style="238" customWidth="1"/>
    <col min="2074" max="2074" width="7.5703125" style="238" customWidth="1"/>
    <col min="2075" max="2075" width="3.140625" style="238" customWidth="1"/>
    <col min="2076" max="2305" width="11.42578125" style="238"/>
    <col min="2306" max="2306" width="1.7109375" style="238" customWidth="1"/>
    <col min="2307" max="2320" width="11.42578125" style="238"/>
    <col min="2321" max="2321" width="12.28515625" style="238" bestFit="1" customWidth="1"/>
    <col min="2322" max="2323" width="11.42578125" style="238"/>
    <col min="2324" max="2325" width="3.140625" style="238" customWidth="1"/>
    <col min="2326" max="2326" width="6.85546875" style="238" customWidth="1"/>
    <col min="2327" max="2327" width="3.140625" style="238" customWidth="1"/>
    <col min="2328" max="2328" width="9" style="238" customWidth="1"/>
    <col min="2329" max="2329" width="7.7109375" style="238" customWidth="1"/>
    <col min="2330" max="2330" width="7.5703125" style="238" customWidth="1"/>
    <col min="2331" max="2331" width="3.140625" style="238" customWidth="1"/>
    <col min="2332" max="2561" width="11.42578125" style="238"/>
    <col min="2562" max="2562" width="1.7109375" style="238" customWidth="1"/>
    <col min="2563" max="2576" width="11.42578125" style="238"/>
    <col min="2577" max="2577" width="12.28515625" style="238" bestFit="1" customWidth="1"/>
    <col min="2578" max="2579" width="11.42578125" style="238"/>
    <col min="2580" max="2581" width="3.140625" style="238" customWidth="1"/>
    <col min="2582" max="2582" width="6.85546875" style="238" customWidth="1"/>
    <col min="2583" max="2583" width="3.140625" style="238" customWidth="1"/>
    <col min="2584" max="2584" width="9" style="238" customWidth="1"/>
    <col min="2585" max="2585" width="7.7109375" style="238" customWidth="1"/>
    <col min="2586" max="2586" width="7.5703125" style="238" customWidth="1"/>
    <col min="2587" max="2587" width="3.140625" style="238" customWidth="1"/>
    <col min="2588" max="2817" width="11.42578125" style="238"/>
    <col min="2818" max="2818" width="1.7109375" style="238" customWidth="1"/>
    <col min="2819" max="2832" width="11.42578125" style="238"/>
    <col min="2833" max="2833" width="12.28515625" style="238" bestFit="1" customWidth="1"/>
    <col min="2834" max="2835" width="11.42578125" style="238"/>
    <col min="2836" max="2837" width="3.140625" style="238" customWidth="1"/>
    <col min="2838" max="2838" width="6.85546875" style="238" customWidth="1"/>
    <col min="2839" max="2839" width="3.140625" style="238" customWidth="1"/>
    <col min="2840" max="2840" width="9" style="238" customWidth="1"/>
    <col min="2841" max="2841" width="7.7109375" style="238" customWidth="1"/>
    <col min="2842" max="2842" width="7.5703125" style="238" customWidth="1"/>
    <col min="2843" max="2843" width="3.140625" style="238" customWidth="1"/>
    <col min="2844" max="3073" width="11.42578125" style="238"/>
    <col min="3074" max="3074" width="1.7109375" style="238" customWidth="1"/>
    <col min="3075" max="3088" width="11.42578125" style="238"/>
    <col min="3089" max="3089" width="12.28515625" style="238" bestFit="1" customWidth="1"/>
    <col min="3090" max="3091" width="11.42578125" style="238"/>
    <col min="3092" max="3093" width="3.140625" style="238" customWidth="1"/>
    <col min="3094" max="3094" width="6.85546875" style="238" customWidth="1"/>
    <col min="3095" max="3095" width="3.140625" style="238" customWidth="1"/>
    <col min="3096" max="3096" width="9" style="238" customWidth="1"/>
    <col min="3097" max="3097" width="7.7109375" style="238" customWidth="1"/>
    <col min="3098" max="3098" width="7.5703125" style="238" customWidth="1"/>
    <col min="3099" max="3099" width="3.140625" style="238" customWidth="1"/>
    <col min="3100" max="3329" width="11.42578125" style="238"/>
    <col min="3330" max="3330" width="1.7109375" style="238" customWidth="1"/>
    <col min="3331" max="3344" width="11.42578125" style="238"/>
    <col min="3345" max="3345" width="12.28515625" style="238" bestFit="1" customWidth="1"/>
    <col min="3346" max="3347" width="11.42578125" style="238"/>
    <col min="3348" max="3349" width="3.140625" style="238" customWidth="1"/>
    <col min="3350" max="3350" width="6.85546875" style="238" customWidth="1"/>
    <col min="3351" max="3351" width="3.140625" style="238" customWidth="1"/>
    <col min="3352" max="3352" width="9" style="238" customWidth="1"/>
    <col min="3353" max="3353" width="7.7109375" style="238" customWidth="1"/>
    <col min="3354" max="3354" width="7.5703125" style="238" customWidth="1"/>
    <col min="3355" max="3355" width="3.140625" style="238" customWidth="1"/>
    <col min="3356" max="3585" width="11.42578125" style="238"/>
    <col min="3586" max="3586" width="1.7109375" style="238" customWidth="1"/>
    <col min="3587" max="3600" width="11.42578125" style="238"/>
    <col min="3601" max="3601" width="12.28515625" style="238" bestFit="1" customWidth="1"/>
    <col min="3602" max="3603" width="11.42578125" style="238"/>
    <col min="3604" max="3605" width="3.140625" style="238" customWidth="1"/>
    <col min="3606" max="3606" width="6.85546875" style="238" customWidth="1"/>
    <col min="3607" max="3607" width="3.140625" style="238" customWidth="1"/>
    <col min="3608" max="3608" width="9" style="238" customWidth="1"/>
    <col min="3609" max="3609" width="7.7109375" style="238" customWidth="1"/>
    <col min="3610" max="3610" width="7.5703125" style="238" customWidth="1"/>
    <col min="3611" max="3611" width="3.140625" style="238" customWidth="1"/>
    <col min="3612" max="3841" width="11.42578125" style="238"/>
    <col min="3842" max="3842" width="1.7109375" style="238" customWidth="1"/>
    <col min="3843" max="3856" width="11.42578125" style="238"/>
    <col min="3857" max="3857" width="12.28515625" style="238" bestFit="1" customWidth="1"/>
    <col min="3858" max="3859" width="11.42578125" style="238"/>
    <col min="3860" max="3861" width="3.140625" style="238" customWidth="1"/>
    <col min="3862" max="3862" width="6.85546875" style="238" customWidth="1"/>
    <col min="3863" max="3863" width="3.140625" style="238" customWidth="1"/>
    <col min="3864" max="3864" width="9" style="238" customWidth="1"/>
    <col min="3865" max="3865" width="7.7109375" style="238" customWidth="1"/>
    <col min="3866" max="3866" width="7.5703125" style="238" customWidth="1"/>
    <col min="3867" max="3867" width="3.140625" style="238" customWidth="1"/>
    <col min="3868" max="4097" width="11.42578125" style="238"/>
    <col min="4098" max="4098" width="1.7109375" style="238" customWidth="1"/>
    <col min="4099" max="4112" width="11.42578125" style="238"/>
    <col min="4113" max="4113" width="12.28515625" style="238" bestFit="1" customWidth="1"/>
    <col min="4114" max="4115" width="11.42578125" style="238"/>
    <col min="4116" max="4117" width="3.140625" style="238" customWidth="1"/>
    <col min="4118" max="4118" width="6.85546875" style="238" customWidth="1"/>
    <col min="4119" max="4119" width="3.140625" style="238" customWidth="1"/>
    <col min="4120" max="4120" width="9" style="238" customWidth="1"/>
    <col min="4121" max="4121" width="7.7109375" style="238" customWidth="1"/>
    <col min="4122" max="4122" width="7.5703125" style="238" customWidth="1"/>
    <col min="4123" max="4123" width="3.140625" style="238" customWidth="1"/>
    <col min="4124" max="4353" width="11.42578125" style="238"/>
    <col min="4354" max="4354" width="1.7109375" style="238" customWidth="1"/>
    <col min="4355" max="4368" width="11.42578125" style="238"/>
    <col min="4369" max="4369" width="12.28515625" style="238" bestFit="1" customWidth="1"/>
    <col min="4370" max="4371" width="11.42578125" style="238"/>
    <col min="4372" max="4373" width="3.140625" style="238" customWidth="1"/>
    <col min="4374" max="4374" width="6.85546875" style="238" customWidth="1"/>
    <col min="4375" max="4375" width="3.140625" style="238" customWidth="1"/>
    <col min="4376" max="4376" width="9" style="238" customWidth="1"/>
    <col min="4377" max="4377" width="7.7109375" style="238" customWidth="1"/>
    <col min="4378" max="4378" width="7.5703125" style="238" customWidth="1"/>
    <col min="4379" max="4379" width="3.140625" style="238" customWidth="1"/>
    <col min="4380" max="4609" width="11.42578125" style="238"/>
    <col min="4610" max="4610" width="1.7109375" style="238" customWidth="1"/>
    <col min="4611" max="4624" width="11.42578125" style="238"/>
    <col min="4625" max="4625" width="12.28515625" style="238" bestFit="1" customWidth="1"/>
    <col min="4626" max="4627" width="11.42578125" style="238"/>
    <col min="4628" max="4629" width="3.140625" style="238" customWidth="1"/>
    <col min="4630" max="4630" width="6.85546875" style="238" customWidth="1"/>
    <col min="4631" max="4631" width="3.140625" style="238" customWidth="1"/>
    <col min="4632" max="4632" width="9" style="238" customWidth="1"/>
    <col min="4633" max="4633" width="7.7109375" style="238" customWidth="1"/>
    <col min="4634" max="4634" width="7.5703125" style="238" customWidth="1"/>
    <col min="4635" max="4635" width="3.140625" style="238" customWidth="1"/>
    <col min="4636" max="4865" width="11.42578125" style="238"/>
    <col min="4866" max="4866" width="1.7109375" style="238" customWidth="1"/>
    <col min="4867" max="4880" width="11.42578125" style="238"/>
    <col min="4881" max="4881" width="12.28515625" style="238" bestFit="1" customWidth="1"/>
    <col min="4882" max="4883" width="11.42578125" style="238"/>
    <col min="4884" max="4885" width="3.140625" style="238" customWidth="1"/>
    <col min="4886" max="4886" width="6.85546875" style="238" customWidth="1"/>
    <col min="4887" max="4887" width="3.140625" style="238" customWidth="1"/>
    <col min="4888" max="4888" width="9" style="238" customWidth="1"/>
    <col min="4889" max="4889" width="7.7109375" style="238" customWidth="1"/>
    <col min="4890" max="4890" width="7.5703125" style="238" customWidth="1"/>
    <col min="4891" max="4891" width="3.140625" style="238" customWidth="1"/>
    <col min="4892" max="5121" width="11.42578125" style="238"/>
    <col min="5122" max="5122" width="1.7109375" style="238" customWidth="1"/>
    <col min="5123" max="5136" width="11.42578125" style="238"/>
    <col min="5137" max="5137" width="12.28515625" style="238" bestFit="1" customWidth="1"/>
    <col min="5138" max="5139" width="11.42578125" style="238"/>
    <col min="5140" max="5141" width="3.140625" style="238" customWidth="1"/>
    <col min="5142" max="5142" width="6.85546875" style="238" customWidth="1"/>
    <col min="5143" max="5143" width="3.140625" style="238" customWidth="1"/>
    <col min="5144" max="5144" width="9" style="238" customWidth="1"/>
    <col min="5145" max="5145" width="7.7109375" style="238" customWidth="1"/>
    <col min="5146" max="5146" width="7.5703125" style="238" customWidth="1"/>
    <col min="5147" max="5147" width="3.140625" style="238" customWidth="1"/>
    <col min="5148" max="5377" width="11.42578125" style="238"/>
    <col min="5378" max="5378" width="1.7109375" style="238" customWidth="1"/>
    <col min="5379" max="5392" width="11.42578125" style="238"/>
    <col min="5393" max="5393" width="12.28515625" style="238" bestFit="1" customWidth="1"/>
    <col min="5394" max="5395" width="11.42578125" style="238"/>
    <col min="5396" max="5397" width="3.140625" style="238" customWidth="1"/>
    <col min="5398" max="5398" width="6.85546875" style="238" customWidth="1"/>
    <col min="5399" max="5399" width="3.140625" style="238" customWidth="1"/>
    <col min="5400" max="5400" width="9" style="238" customWidth="1"/>
    <col min="5401" max="5401" width="7.7109375" style="238" customWidth="1"/>
    <col min="5402" max="5402" width="7.5703125" style="238" customWidth="1"/>
    <col min="5403" max="5403" width="3.140625" style="238" customWidth="1"/>
    <col min="5404" max="5633" width="11.42578125" style="238"/>
    <col min="5634" max="5634" width="1.7109375" style="238" customWidth="1"/>
    <col min="5635" max="5648" width="11.42578125" style="238"/>
    <col min="5649" max="5649" width="12.28515625" style="238" bestFit="1" customWidth="1"/>
    <col min="5650" max="5651" width="11.42578125" style="238"/>
    <col min="5652" max="5653" width="3.140625" style="238" customWidth="1"/>
    <col min="5654" max="5654" width="6.85546875" style="238" customWidth="1"/>
    <col min="5655" max="5655" width="3.140625" style="238" customWidth="1"/>
    <col min="5656" max="5656" width="9" style="238" customWidth="1"/>
    <col min="5657" max="5657" width="7.7109375" style="238" customWidth="1"/>
    <col min="5658" max="5658" width="7.5703125" style="238" customWidth="1"/>
    <col min="5659" max="5659" width="3.140625" style="238" customWidth="1"/>
    <col min="5660" max="5889" width="11.42578125" style="238"/>
    <col min="5890" max="5890" width="1.7109375" style="238" customWidth="1"/>
    <col min="5891" max="5904" width="11.42578125" style="238"/>
    <col min="5905" max="5905" width="12.28515625" style="238" bestFit="1" customWidth="1"/>
    <col min="5906" max="5907" width="11.42578125" style="238"/>
    <col min="5908" max="5909" width="3.140625" style="238" customWidth="1"/>
    <col min="5910" max="5910" width="6.85546875" style="238" customWidth="1"/>
    <col min="5911" max="5911" width="3.140625" style="238" customWidth="1"/>
    <col min="5912" max="5912" width="9" style="238" customWidth="1"/>
    <col min="5913" max="5913" width="7.7109375" style="238" customWidth="1"/>
    <col min="5914" max="5914" width="7.5703125" style="238" customWidth="1"/>
    <col min="5915" max="5915" width="3.140625" style="238" customWidth="1"/>
    <col min="5916" max="6145" width="11.42578125" style="238"/>
    <col min="6146" max="6146" width="1.7109375" style="238" customWidth="1"/>
    <col min="6147" max="6160" width="11.42578125" style="238"/>
    <col min="6161" max="6161" width="12.28515625" style="238" bestFit="1" customWidth="1"/>
    <col min="6162" max="6163" width="11.42578125" style="238"/>
    <col min="6164" max="6165" width="3.140625" style="238" customWidth="1"/>
    <col min="6166" max="6166" width="6.85546875" style="238" customWidth="1"/>
    <col min="6167" max="6167" width="3.140625" style="238" customWidth="1"/>
    <col min="6168" max="6168" width="9" style="238" customWidth="1"/>
    <col min="6169" max="6169" width="7.7109375" style="238" customWidth="1"/>
    <col min="6170" max="6170" width="7.5703125" style="238" customWidth="1"/>
    <col min="6171" max="6171" width="3.140625" style="238" customWidth="1"/>
    <col min="6172" max="6401" width="11.42578125" style="238"/>
    <col min="6402" max="6402" width="1.7109375" style="238" customWidth="1"/>
    <col min="6403" max="6416" width="11.42578125" style="238"/>
    <col min="6417" max="6417" width="12.28515625" style="238" bestFit="1" customWidth="1"/>
    <col min="6418" max="6419" width="11.42578125" style="238"/>
    <col min="6420" max="6421" width="3.140625" style="238" customWidth="1"/>
    <col min="6422" max="6422" width="6.85546875" style="238" customWidth="1"/>
    <col min="6423" max="6423" width="3.140625" style="238" customWidth="1"/>
    <col min="6424" max="6424" width="9" style="238" customWidth="1"/>
    <col min="6425" max="6425" width="7.7109375" style="238" customWidth="1"/>
    <col min="6426" max="6426" width="7.5703125" style="238" customWidth="1"/>
    <col min="6427" max="6427" width="3.140625" style="238" customWidth="1"/>
    <col min="6428" max="6657" width="11.42578125" style="238"/>
    <col min="6658" max="6658" width="1.7109375" style="238" customWidth="1"/>
    <col min="6659" max="6672" width="11.42578125" style="238"/>
    <col min="6673" max="6673" width="12.28515625" style="238" bestFit="1" customWidth="1"/>
    <col min="6674" max="6675" width="11.42578125" style="238"/>
    <col min="6676" max="6677" width="3.140625" style="238" customWidth="1"/>
    <col min="6678" max="6678" width="6.85546875" style="238" customWidth="1"/>
    <col min="6679" max="6679" width="3.140625" style="238" customWidth="1"/>
    <col min="6680" max="6680" width="9" style="238" customWidth="1"/>
    <col min="6681" max="6681" width="7.7109375" style="238" customWidth="1"/>
    <col min="6682" max="6682" width="7.5703125" style="238" customWidth="1"/>
    <col min="6683" max="6683" width="3.140625" style="238" customWidth="1"/>
    <col min="6684" max="6913" width="11.42578125" style="238"/>
    <col min="6914" max="6914" width="1.7109375" style="238" customWidth="1"/>
    <col min="6915" max="6928" width="11.42578125" style="238"/>
    <col min="6929" max="6929" width="12.28515625" style="238" bestFit="1" customWidth="1"/>
    <col min="6930" max="6931" width="11.42578125" style="238"/>
    <col min="6932" max="6933" width="3.140625" style="238" customWidth="1"/>
    <col min="6934" max="6934" width="6.85546875" style="238" customWidth="1"/>
    <col min="6935" max="6935" width="3.140625" style="238" customWidth="1"/>
    <col min="6936" max="6936" width="9" style="238" customWidth="1"/>
    <col min="6937" max="6937" width="7.7109375" style="238" customWidth="1"/>
    <col min="6938" max="6938" width="7.5703125" style="238" customWidth="1"/>
    <col min="6939" max="6939" width="3.140625" style="238" customWidth="1"/>
    <col min="6940" max="7169" width="11.42578125" style="238"/>
    <col min="7170" max="7170" width="1.7109375" style="238" customWidth="1"/>
    <col min="7171" max="7184" width="11.42578125" style="238"/>
    <col min="7185" max="7185" width="12.28515625" style="238" bestFit="1" customWidth="1"/>
    <col min="7186" max="7187" width="11.42578125" style="238"/>
    <col min="7188" max="7189" width="3.140625" style="238" customWidth="1"/>
    <col min="7190" max="7190" width="6.85546875" style="238" customWidth="1"/>
    <col min="7191" max="7191" width="3.140625" style="238" customWidth="1"/>
    <col min="7192" max="7192" width="9" style="238" customWidth="1"/>
    <col min="7193" max="7193" width="7.7109375" style="238" customWidth="1"/>
    <col min="7194" max="7194" width="7.5703125" style="238" customWidth="1"/>
    <col min="7195" max="7195" width="3.140625" style="238" customWidth="1"/>
    <col min="7196" max="7425" width="11.42578125" style="238"/>
    <col min="7426" max="7426" width="1.7109375" style="238" customWidth="1"/>
    <col min="7427" max="7440" width="11.42578125" style="238"/>
    <col min="7441" max="7441" width="12.28515625" style="238" bestFit="1" customWidth="1"/>
    <col min="7442" max="7443" width="11.42578125" style="238"/>
    <col min="7444" max="7445" width="3.140625" style="238" customWidth="1"/>
    <col min="7446" max="7446" width="6.85546875" style="238" customWidth="1"/>
    <col min="7447" max="7447" width="3.140625" style="238" customWidth="1"/>
    <col min="7448" max="7448" width="9" style="238" customWidth="1"/>
    <col min="7449" max="7449" width="7.7109375" style="238" customWidth="1"/>
    <col min="7450" max="7450" width="7.5703125" style="238" customWidth="1"/>
    <col min="7451" max="7451" width="3.140625" style="238" customWidth="1"/>
    <col min="7452" max="7681" width="11.42578125" style="238"/>
    <col min="7682" max="7682" width="1.7109375" style="238" customWidth="1"/>
    <col min="7683" max="7696" width="11.42578125" style="238"/>
    <col min="7697" max="7697" width="12.28515625" style="238" bestFit="1" customWidth="1"/>
    <col min="7698" max="7699" width="11.42578125" style="238"/>
    <col min="7700" max="7701" width="3.140625" style="238" customWidth="1"/>
    <col min="7702" max="7702" width="6.85546875" style="238" customWidth="1"/>
    <col min="7703" max="7703" width="3.140625" style="238" customWidth="1"/>
    <col min="7704" max="7704" width="9" style="238" customWidth="1"/>
    <col min="7705" max="7705" width="7.7109375" style="238" customWidth="1"/>
    <col min="7706" max="7706" width="7.5703125" style="238" customWidth="1"/>
    <col min="7707" max="7707" width="3.140625" style="238" customWidth="1"/>
    <col min="7708" max="7937" width="11.42578125" style="238"/>
    <col min="7938" max="7938" width="1.7109375" style="238" customWidth="1"/>
    <col min="7939" max="7952" width="11.42578125" style="238"/>
    <col min="7953" max="7953" width="12.28515625" style="238" bestFit="1" customWidth="1"/>
    <col min="7954" max="7955" width="11.42578125" style="238"/>
    <col min="7956" max="7957" width="3.140625" style="238" customWidth="1"/>
    <col min="7958" max="7958" width="6.85546875" style="238" customWidth="1"/>
    <col min="7959" max="7959" width="3.140625" style="238" customWidth="1"/>
    <col min="7960" max="7960" width="9" style="238" customWidth="1"/>
    <col min="7961" max="7961" width="7.7109375" style="238" customWidth="1"/>
    <col min="7962" max="7962" width="7.5703125" style="238" customWidth="1"/>
    <col min="7963" max="7963" width="3.140625" style="238" customWidth="1"/>
    <col min="7964" max="8193" width="11.42578125" style="238"/>
    <col min="8194" max="8194" width="1.7109375" style="238" customWidth="1"/>
    <col min="8195" max="8208" width="11.42578125" style="238"/>
    <col min="8209" max="8209" width="12.28515625" style="238" bestFit="1" customWidth="1"/>
    <col min="8210" max="8211" width="11.42578125" style="238"/>
    <col min="8212" max="8213" width="3.140625" style="238" customWidth="1"/>
    <col min="8214" max="8214" width="6.85546875" style="238" customWidth="1"/>
    <col min="8215" max="8215" width="3.140625" style="238" customWidth="1"/>
    <col min="8216" max="8216" width="9" style="238" customWidth="1"/>
    <col min="8217" max="8217" width="7.7109375" style="238" customWidth="1"/>
    <col min="8218" max="8218" width="7.5703125" style="238" customWidth="1"/>
    <col min="8219" max="8219" width="3.140625" style="238" customWidth="1"/>
    <col min="8220" max="8449" width="11.42578125" style="238"/>
    <col min="8450" max="8450" width="1.7109375" style="238" customWidth="1"/>
    <col min="8451" max="8464" width="11.42578125" style="238"/>
    <col min="8465" max="8465" width="12.28515625" style="238" bestFit="1" customWidth="1"/>
    <col min="8466" max="8467" width="11.42578125" style="238"/>
    <col min="8468" max="8469" width="3.140625" style="238" customWidth="1"/>
    <col min="8470" max="8470" width="6.85546875" style="238" customWidth="1"/>
    <col min="8471" max="8471" width="3.140625" style="238" customWidth="1"/>
    <col min="8472" max="8472" width="9" style="238" customWidth="1"/>
    <col min="8473" max="8473" width="7.7109375" style="238" customWidth="1"/>
    <col min="8474" max="8474" width="7.5703125" style="238" customWidth="1"/>
    <col min="8475" max="8475" width="3.140625" style="238" customWidth="1"/>
    <col min="8476" max="8705" width="11.42578125" style="238"/>
    <col min="8706" max="8706" width="1.7109375" style="238" customWidth="1"/>
    <col min="8707" max="8720" width="11.42578125" style="238"/>
    <col min="8721" max="8721" width="12.28515625" style="238" bestFit="1" customWidth="1"/>
    <col min="8722" max="8723" width="11.42578125" style="238"/>
    <col min="8724" max="8725" width="3.140625" style="238" customWidth="1"/>
    <col min="8726" max="8726" width="6.85546875" style="238" customWidth="1"/>
    <col min="8727" max="8727" width="3.140625" style="238" customWidth="1"/>
    <col min="8728" max="8728" width="9" style="238" customWidth="1"/>
    <col min="8729" max="8729" width="7.7109375" style="238" customWidth="1"/>
    <col min="8730" max="8730" width="7.5703125" style="238" customWidth="1"/>
    <col min="8731" max="8731" width="3.140625" style="238" customWidth="1"/>
    <col min="8732" max="8961" width="11.42578125" style="238"/>
    <col min="8962" max="8962" width="1.7109375" style="238" customWidth="1"/>
    <col min="8963" max="8976" width="11.42578125" style="238"/>
    <col min="8977" max="8977" width="12.28515625" style="238" bestFit="1" customWidth="1"/>
    <col min="8978" max="8979" width="11.42578125" style="238"/>
    <col min="8980" max="8981" width="3.140625" style="238" customWidth="1"/>
    <col min="8982" max="8982" width="6.85546875" style="238" customWidth="1"/>
    <col min="8983" max="8983" width="3.140625" style="238" customWidth="1"/>
    <col min="8984" max="8984" width="9" style="238" customWidth="1"/>
    <col min="8985" max="8985" width="7.7109375" style="238" customWidth="1"/>
    <col min="8986" max="8986" width="7.5703125" style="238" customWidth="1"/>
    <col min="8987" max="8987" width="3.140625" style="238" customWidth="1"/>
    <col min="8988" max="9217" width="11.42578125" style="238"/>
    <col min="9218" max="9218" width="1.7109375" style="238" customWidth="1"/>
    <col min="9219" max="9232" width="11.42578125" style="238"/>
    <col min="9233" max="9233" width="12.28515625" style="238" bestFit="1" customWidth="1"/>
    <col min="9234" max="9235" width="11.42578125" style="238"/>
    <col min="9236" max="9237" width="3.140625" style="238" customWidth="1"/>
    <col min="9238" max="9238" width="6.85546875" style="238" customWidth="1"/>
    <col min="9239" max="9239" width="3.140625" style="238" customWidth="1"/>
    <col min="9240" max="9240" width="9" style="238" customWidth="1"/>
    <col min="9241" max="9241" width="7.7109375" style="238" customWidth="1"/>
    <col min="9242" max="9242" width="7.5703125" style="238" customWidth="1"/>
    <col min="9243" max="9243" width="3.140625" style="238" customWidth="1"/>
    <col min="9244" max="9473" width="11.42578125" style="238"/>
    <col min="9474" max="9474" width="1.7109375" style="238" customWidth="1"/>
    <col min="9475" max="9488" width="11.42578125" style="238"/>
    <col min="9489" max="9489" width="12.28515625" style="238" bestFit="1" customWidth="1"/>
    <col min="9490" max="9491" width="11.42578125" style="238"/>
    <col min="9492" max="9493" width="3.140625" style="238" customWidth="1"/>
    <col min="9494" max="9494" width="6.85546875" style="238" customWidth="1"/>
    <col min="9495" max="9495" width="3.140625" style="238" customWidth="1"/>
    <col min="9496" max="9496" width="9" style="238" customWidth="1"/>
    <col min="9497" max="9497" width="7.7109375" style="238" customWidth="1"/>
    <col min="9498" max="9498" width="7.5703125" style="238" customWidth="1"/>
    <col min="9499" max="9499" width="3.140625" style="238" customWidth="1"/>
    <col min="9500" max="9729" width="11.42578125" style="238"/>
    <col min="9730" max="9730" width="1.7109375" style="238" customWidth="1"/>
    <col min="9731" max="9744" width="11.42578125" style="238"/>
    <col min="9745" max="9745" width="12.28515625" style="238" bestFit="1" customWidth="1"/>
    <col min="9746" max="9747" width="11.42578125" style="238"/>
    <col min="9748" max="9749" width="3.140625" style="238" customWidth="1"/>
    <col min="9750" max="9750" width="6.85546875" style="238" customWidth="1"/>
    <col min="9751" max="9751" width="3.140625" style="238" customWidth="1"/>
    <col min="9752" max="9752" width="9" style="238" customWidth="1"/>
    <col min="9753" max="9753" width="7.7109375" style="238" customWidth="1"/>
    <col min="9754" max="9754" width="7.5703125" style="238" customWidth="1"/>
    <col min="9755" max="9755" width="3.140625" style="238" customWidth="1"/>
    <col min="9756" max="9985" width="11.42578125" style="238"/>
    <col min="9986" max="9986" width="1.7109375" style="238" customWidth="1"/>
    <col min="9987" max="10000" width="11.42578125" style="238"/>
    <col min="10001" max="10001" width="12.28515625" style="238" bestFit="1" customWidth="1"/>
    <col min="10002" max="10003" width="11.42578125" style="238"/>
    <col min="10004" max="10005" width="3.140625" style="238" customWidth="1"/>
    <col min="10006" max="10006" width="6.85546875" style="238" customWidth="1"/>
    <col min="10007" max="10007" width="3.140625" style="238" customWidth="1"/>
    <col min="10008" max="10008" width="9" style="238" customWidth="1"/>
    <col min="10009" max="10009" width="7.7109375" style="238" customWidth="1"/>
    <col min="10010" max="10010" width="7.5703125" style="238" customWidth="1"/>
    <col min="10011" max="10011" width="3.140625" style="238" customWidth="1"/>
    <col min="10012" max="10241" width="11.42578125" style="238"/>
    <col min="10242" max="10242" width="1.7109375" style="238" customWidth="1"/>
    <col min="10243" max="10256" width="11.42578125" style="238"/>
    <col min="10257" max="10257" width="12.28515625" style="238" bestFit="1" customWidth="1"/>
    <col min="10258" max="10259" width="11.42578125" style="238"/>
    <col min="10260" max="10261" width="3.140625" style="238" customWidth="1"/>
    <col min="10262" max="10262" width="6.85546875" style="238" customWidth="1"/>
    <col min="10263" max="10263" width="3.140625" style="238" customWidth="1"/>
    <col min="10264" max="10264" width="9" style="238" customWidth="1"/>
    <col min="10265" max="10265" width="7.7109375" style="238" customWidth="1"/>
    <col min="10266" max="10266" width="7.5703125" style="238" customWidth="1"/>
    <col min="10267" max="10267" width="3.140625" style="238" customWidth="1"/>
    <col min="10268" max="10497" width="11.42578125" style="238"/>
    <col min="10498" max="10498" width="1.7109375" style="238" customWidth="1"/>
    <col min="10499" max="10512" width="11.42578125" style="238"/>
    <col min="10513" max="10513" width="12.28515625" style="238" bestFit="1" customWidth="1"/>
    <col min="10514" max="10515" width="11.42578125" style="238"/>
    <col min="10516" max="10517" width="3.140625" style="238" customWidth="1"/>
    <col min="10518" max="10518" width="6.85546875" style="238" customWidth="1"/>
    <col min="10519" max="10519" width="3.140625" style="238" customWidth="1"/>
    <col min="10520" max="10520" width="9" style="238" customWidth="1"/>
    <col min="10521" max="10521" width="7.7109375" style="238" customWidth="1"/>
    <col min="10522" max="10522" width="7.5703125" style="238" customWidth="1"/>
    <col min="10523" max="10523" width="3.140625" style="238" customWidth="1"/>
    <col min="10524" max="10753" width="11.42578125" style="238"/>
    <col min="10754" max="10754" width="1.7109375" style="238" customWidth="1"/>
    <col min="10755" max="10768" width="11.42578125" style="238"/>
    <col min="10769" max="10769" width="12.28515625" style="238" bestFit="1" customWidth="1"/>
    <col min="10770" max="10771" width="11.42578125" style="238"/>
    <col min="10772" max="10773" width="3.140625" style="238" customWidth="1"/>
    <col min="10774" max="10774" width="6.85546875" style="238" customWidth="1"/>
    <col min="10775" max="10775" width="3.140625" style="238" customWidth="1"/>
    <col min="10776" max="10776" width="9" style="238" customWidth="1"/>
    <col min="10777" max="10777" width="7.7109375" style="238" customWidth="1"/>
    <col min="10778" max="10778" width="7.5703125" style="238" customWidth="1"/>
    <col min="10779" max="10779" width="3.140625" style="238" customWidth="1"/>
    <col min="10780" max="11009" width="11.42578125" style="238"/>
    <col min="11010" max="11010" width="1.7109375" style="238" customWidth="1"/>
    <col min="11011" max="11024" width="11.42578125" style="238"/>
    <col min="11025" max="11025" width="12.28515625" style="238" bestFit="1" customWidth="1"/>
    <col min="11026" max="11027" width="11.42578125" style="238"/>
    <col min="11028" max="11029" width="3.140625" style="238" customWidth="1"/>
    <col min="11030" max="11030" width="6.85546875" style="238" customWidth="1"/>
    <col min="11031" max="11031" width="3.140625" style="238" customWidth="1"/>
    <col min="11032" max="11032" width="9" style="238" customWidth="1"/>
    <col min="11033" max="11033" width="7.7109375" style="238" customWidth="1"/>
    <col min="11034" max="11034" width="7.5703125" style="238" customWidth="1"/>
    <col min="11035" max="11035" width="3.140625" style="238" customWidth="1"/>
    <col min="11036" max="11265" width="11.42578125" style="238"/>
    <col min="11266" max="11266" width="1.7109375" style="238" customWidth="1"/>
    <col min="11267" max="11280" width="11.42578125" style="238"/>
    <col min="11281" max="11281" width="12.28515625" style="238" bestFit="1" customWidth="1"/>
    <col min="11282" max="11283" width="11.42578125" style="238"/>
    <col min="11284" max="11285" width="3.140625" style="238" customWidth="1"/>
    <col min="11286" max="11286" width="6.85546875" style="238" customWidth="1"/>
    <col min="11287" max="11287" width="3.140625" style="238" customWidth="1"/>
    <col min="11288" max="11288" width="9" style="238" customWidth="1"/>
    <col min="11289" max="11289" width="7.7109375" style="238" customWidth="1"/>
    <col min="11290" max="11290" width="7.5703125" style="238" customWidth="1"/>
    <col min="11291" max="11291" width="3.140625" style="238" customWidth="1"/>
    <col min="11292" max="11521" width="11.42578125" style="238"/>
    <col min="11522" max="11522" width="1.7109375" style="238" customWidth="1"/>
    <col min="11523" max="11536" width="11.42578125" style="238"/>
    <col min="11537" max="11537" width="12.28515625" style="238" bestFit="1" customWidth="1"/>
    <col min="11538" max="11539" width="11.42578125" style="238"/>
    <col min="11540" max="11541" width="3.140625" style="238" customWidth="1"/>
    <col min="11542" max="11542" width="6.85546875" style="238" customWidth="1"/>
    <col min="11543" max="11543" width="3.140625" style="238" customWidth="1"/>
    <col min="11544" max="11544" width="9" style="238" customWidth="1"/>
    <col min="11545" max="11545" width="7.7109375" style="238" customWidth="1"/>
    <col min="11546" max="11546" width="7.5703125" style="238" customWidth="1"/>
    <col min="11547" max="11547" width="3.140625" style="238" customWidth="1"/>
    <col min="11548" max="11777" width="11.42578125" style="238"/>
    <col min="11778" max="11778" width="1.7109375" style="238" customWidth="1"/>
    <col min="11779" max="11792" width="11.42578125" style="238"/>
    <col min="11793" max="11793" width="12.28515625" style="238" bestFit="1" customWidth="1"/>
    <col min="11794" max="11795" width="11.42578125" style="238"/>
    <col min="11796" max="11797" width="3.140625" style="238" customWidth="1"/>
    <col min="11798" max="11798" width="6.85546875" style="238" customWidth="1"/>
    <col min="11799" max="11799" width="3.140625" style="238" customWidth="1"/>
    <col min="11800" max="11800" width="9" style="238" customWidth="1"/>
    <col min="11801" max="11801" width="7.7109375" style="238" customWidth="1"/>
    <col min="11802" max="11802" width="7.5703125" style="238" customWidth="1"/>
    <col min="11803" max="11803" width="3.140625" style="238" customWidth="1"/>
    <col min="11804" max="12033" width="11.42578125" style="238"/>
    <col min="12034" max="12034" width="1.7109375" style="238" customWidth="1"/>
    <col min="12035" max="12048" width="11.42578125" style="238"/>
    <col min="12049" max="12049" width="12.28515625" style="238" bestFit="1" customWidth="1"/>
    <col min="12050" max="12051" width="11.42578125" style="238"/>
    <col min="12052" max="12053" width="3.140625" style="238" customWidth="1"/>
    <col min="12054" max="12054" width="6.85546875" style="238" customWidth="1"/>
    <col min="12055" max="12055" width="3.140625" style="238" customWidth="1"/>
    <col min="12056" max="12056" width="9" style="238" customWidth="1"/>
    <col min="12057" max="12057" width="7.7109375" style="238" customWidth="1"/>
    <col min="12058" max="12058" width="7.5703125" style="238" customWidth="1"/>
    <col min="12059" max="12059" width="3.140625" style="238" customWidth="1"/>
    <col min="12060" max="12289" width="11.42578125" style="238"/>
    <col min="12290" max="12290" width="1.7109375" style="238" customWidth="1"/>
    <col min="12291" max="12304" width="11.42578125" style="238"/>
    <col min="12305" max="12305" width="12.28515625" style="238" bestFit="1" customWidth="1"/>
    <col min="12306" max="12307" width="11.42578125" style="238"/>
    <col min="12308" max="12309" width="3.140625" style="238" customWidth="1"/>
    <col min="12310" max="12310" width="6.85546875" style="238" customWidth="1"/>
    <col min="12311" max="12311" width="3.140625" style="238" customWidth="1"/>
    <col min="12312" max="12312" width="9" style="238" customWidth="1"/>
    <col min="12313" max="12313" width="7.7109375" style="238" customWidth="1"/>
    <col min="12314" max="12314" width="7.5703125" style="238" customWidth="1"/>
    <col min="12315" max="12315" width="3.140625" style="238" customWidth="1"/>
    <col min="12316" max="12545" width="11.42578125" style="238"/>
    <col min="12546" max="12546" width="1.7109375" style="238" customWidth="1"/>
    <col min="12547" max="12560" width="11.42578125" style="238"/>
    <col min="12561" max="12561" width="12.28515625" style="238" bestFit="1" customWidth="1"/>
    <col min="12562" max="12563" width="11.42578125" style="238"/>
    <col min="12564" max="12565" width="3.140625" style="238" customWidth="1"/>
    <col min="12566" max="12566" width="6.85546875" style="238" customWidth="1"/>
    <col min="12567" max="12567" width="3.140625" style="238" customWidth="1"/>
    <col min="12568" max="12568" width="9" style="238" customWidth="1"/>
    <col min="12569" max="12569" width="7.7109375" style="238" customWidth="1"/>
    <col min="12570" max="12570" width="7.5703125" style="238" customWidth="1"/>
    <col min="12571" max="12571" width="3.140625" style="238" customWidth="1"/>
    <col min="12572" max="12801" width="11.42578125" style="238"/>
    <col min="12802" max="12802" width="1.7109375" style="238" customWidth="1"/>
    <col min="12803" max="12816" width="11.42578125" style="238"/>
    <col min="12817" max="12817" width="12.28515625" style="238" bestFit="1" customWidth="1"/>
    <col min="12818" max="12819" width="11.42578125" style="238"/>
    <col min="12820" max="12821" width="3.140625" style="238" customWidth="1"/>
    <col min="12822" max="12822" width="6.85546875" style="238" customWidth="1"/>
    <col min="12823" max="12823" width="3.140625" style="238" customWidth="1"/>
    <col min="12824" max="12824" width="9" style="238" customWidth="1"/>
    <col min="12825" max="12825" width="7.7109375" style="238" customWidth="1"/>
    <col min="12826" max="12826" width="7.5703125" style="238" customWidth="1"/>
    <col min="12827" max="12827" width="3.140625" style="238" customWidth="1"/>
    <col min="12828" max="13057" width="11.42578125" style="238"/>
    <col min="13058" max="13058" width="1.7109375" style="238" customWidth="1"/>
    <col min="13059" max="13072" width="11.42578125" style="238"/>
    <col min="13073" max="13073" width="12.28515625" style="238" bestFit="1" customWidth="1"/>
    <col min="13074" max="13075" width="11.42578125" style="238"/>
    <col min="13076" max="13077" width="3.140625" style="238" customWidth="1"/>
    <col min="13078" max="13078" width="6.85546875" style="238" customWidth="1"/>
    <col min="13079" max="13079" width="3.140625" style="238" customWidth="1"/>
    <col min="13080" max="13080" width="9" style="238" customWidth="1"/>
    <col min="13081" max="13081" width="7.7109375" style="238" customWidth="1"/>
    <col min="13082" max="13082" width="7.5703125" style="238" customWidth="1"/>
    <col min="13083" max="13083" width="3.140625" style="238" customWidth="1"/>
    <col min="13084" max="13313" width="11.42578125" style="238"/>
    <col min="13314" max="13314" width="1.7109375" style="238" customWidth="1"/>
    <col min="13315" max="13328" width="11.42578125" style="238"/>
    <col min="13329" max="13329" width="12.28515625" style="238" bestFit="1" customWidth="1"/>
    <col min="13330" max="13331" width="11.42578125" style="238"/>
    <col min="13332" max="13333" width="3.140625" style="238" customWidth="1"/>
    <col min="13334" max="13334" width="6.85546875" style="238" customWidth="1"/>
    <col min="13335" max="13335" width="3.140625" style="238" customWidth="1"/>
    <col min="13336" max="13336" width="9" style="238" customWidth="1"/>
    <col min="13337" max="13337" width="7.7109375" style="238" customWidth="1"/>
    <col min="13338" max="13338" width="7.5703125" style="238" customWidth="1"/>
    <col min="13339" max="13339" width="3.140625" style="238" customWidth="1"/>
    <col min="13340" max="13569" width="11.42578125" style="238"/>
    <col min="13570" max="13570" width="1.7109375" style="238" customWidth="1"/>
    <col min="13571" max="13584" width="11.42578125" style="238"/>
    <col min="13585" max="13585" width="12.28515625" style="238" bestFit="1" customWidth="1"/>
    <col min="13586" max="13587" width="11.42578125" style="238"/>
    <col min="13588" max="13589" width="3.140625" style="238" customWidth="1"/>
    <col min="13590" max="13590" width="6.85546875" style="238" customWidth="1"/>
    <col min="13591" max="13591" width="3.140625" style="238" customWidth="1"/>
    <col min="13592" max="13592" width="9" style="238" customWidth="1"/>
    <col min="13593" max="13593" width="7.7109375" style="238" customWidth="1"/>
    <col min="13594" max="13594" width="7.5703125" style="238" customWidth="1"/>
    <col min="13595" max="13595" width="3.140625" style="238" customWidth="1"/>
    <col min="13596" max="13825" width="11.42578125" style="238"/>
    <col min="13826" max="13826" width="1.7109375" style="238" customWidth="1"/>
    <col min="13827" max="13840" width="11.42578125" style="238"/>
    <col min="13841" max="13841" width="12.28515625" style="238" bestFit="1" customWidth="1"/>
    <col min="13842" max="13843" width="11.42578125" style="238"/>
    <col min="13844" max="13845" width="3.140625" style="238" customWidth="1"/>
    <col min="13846" max="13846" width="6.85546875" style="238" customWidth="1"/>
    <col min="13847" max="13847" width="3.140625" style="238" customWidth="1"/>
    <col min="13848" max="13848" width="9" style="238" customWidth="1"/>
    <col min="13849" max="13849" width="7.7109375" style="238" customWidth="1"/>
    <col min="13850" max="13850" width="7.5703125" style="238" customWidth="1"/>
    <col min="13851" max="13851" width="3.140625" style="238" customWidth="1"/>
    <col min="13852" max="14081" width="11.42578125" style="238"/>
    <col min="14082" max="14082" width="1.7109375" style="238" customWidth="1"/>
    <col min="14083" max="14096" width="11.42578125" style="238"/>
    <col min="14097" max="14097" width="12.28515625" style="238" bestFit="1" customWidth="1"/>
    <col min="14098" max="14099" width="11.42578125" style="238"/>
    <col min="14100" max="14101" width="3.140625" style="238" customWidth="1"/>
    <col min="14102" max="14102" width="6.85546875" style="238" customWidth="1"/>
    <col min="14103" max="14103" width="3.140625" style="238" customWidth="1"/>
    <col min="14104" max="14104" width="9" style="238" customWidth="1"/>
    <col min="14105" max="14105" width="7.7109375" style="238" customWidth="1"/>
    <col min="14106" max="14106" width="7.5703125" style="238" customWidth="1"/>
    <col min="14107" max="14107" width="3.140625" style="238" customWidth="1"/>
    <col min="14108" max="14337" width="11.42578125" style="238"/>
    <col min="14338" max="14338" width="1.7109375" style="238" customWidth="1"/>
    <col min="14339" max="14352" width="11.42578125" style="238"/>
    <col min="14353" max="14353" width="12.28515625" style="238" bestFit="1" customWidth="1"/>
    <col min="14354" max="14355" width="11.42578125" style="238"/>
    <col min="14356" max="14357" width="3.140625" style="238" customWidth="1"/>
    <col min="14358" max="14358" width="6.85546875" style="238" customWidth="1"/>
    <col min="14359" max="14359" width="3.140625" style="238" customWidth="1"/>
    <col min="14360" max="14360" width="9" style="238" customWidth="1"/>
    <col min="14361" max="14361" width="7.7109375" style="238" customWidth="1"/>
    <col min="14362" max="14362" width="7.5703125" style="238" customWidth="1"/>
    <col min="14363" max="14363" width="3.140625" style="238" customWidth="1"/>
    <col min="14364" max="14593" width="11.42578125" style="238"/>
    <col min="14594" max="14594" width="1.7109375" style="238" customWidth="1"/>
    <col min="14595" max="14608" width="11.42578125" style="238"/>
    <col min="14609" max="14609" width="12.28515625" style="238" bestFit="1" customWidth="1"/>
    <col min="14610" max="14611" width="11.42578125" style="238"/>
    <col min="14612" max="14613" width="3.140625" style="238" customWidth="1"/>
    <col min="14614" max="14614" width="6.85546875" style="238" customWidth="1"/>
    <col min="14615" max="14615" width="3.140625" style="238" customWidth="1"/>
    <col min="14616" max="14616" width="9" style="238" customWidth="1"/>
    <col min="14617" max="14617" width="7.7109375" style="238" customWidth="1"/>
    <col min="14618" max="14618" width="7.5703125" style="238" customWidth="1"/>
    <col min="14619" max="14619" width="3.140625" style="238" customWidth="1"/>
    <col min="14620" max="14849" width="11.42578125" style="238"/>
    <col min="14850" max="14850" width="1.7109375" style="238" customWidth="1"/>
    <col min="14851" max="14864" width="11.42578125" style="238"/>
    <col min="14865" max="14865" width="12.28515625" style="238" bestFit="1" customWidth="1"/>
    <col min="14866" max="14867" width="11.42578125" style="238"/>
    <col min="14868" max="14869" width="3.140625" style="238" customWidth="1"/>
    <col min="14870" max="14870" width="6.85546875" style="238" customWidth="1"/>
    <col min="14871" max="14871" width="3.140625" style="238" customWidth="1"/>
    <col min="14872" max="14872" width="9" style="238" customWidth="1"/>
    <col min="14873" max="14873" width="7.7109375" style="238" customWidth="1"/>
    <col min="14874" max="14874" width="7.5703125" style="238" customWidth="1"/>
    <col min="14875" max="14875" width="3.140625" style="238" customWidth="1"/>
    <col min="14876" max="15105" width="11.42578125" style="238"/>
    <col min="15106" max="15106" width="1.7109375" style="238" customWidth="1"/>
    <col min="15107" max="15120" width="11.42578125" style="238"/>
    <col min="15121" max="15121" width="12.28515625" style="238" bestFit="1" customWidth="1"/>
    <col min="15122" max="15123" width="11.42578125" style="238"/>
    <col min="15124" max="15125" width="3.140625" style="238" customWidth="1"/>
    <col min="15126" max="15126" width="6.85546875" style="238" customWidth="1"/>
    <col min="15127" max="15127" width="3.140625" style="238" customWidth="1"/>
    <col min="15128" max="15128" width="9" style="238" customWidth="1"/>
    <col min="15129" max="15129" width="7.7109375" style="238" customWidth="1"/>
    <col min="15130" max="15130" width="7.5703125" style="238" customWidth="1"/>
    <col min="15131" max="15131" width="3.140625" style="238" customWidth="1"/>
    <col min="15132" max="15361" width="11.42578125" style="238"/>
    <col min="15362" max="15362" width="1.7109375" style="238" customWidth="1"/>
    <col min="15363" max="15376" width="11.42578125" style="238"/>
    <col min="15377" max="15377" width="12.28515625" style="238" bestFit="1" customWidth="1"/>
    <col min="15378" max="15379" width="11.42578125" style="238"/>
    <col min="15380" max="15381" width="3.140625" style="238" customWidth="1"/>
    <col min="15382" max="15382" width="6.85546875" style="238" customWidth="1"/>
    <col min="15383" max="15383" width="3.140625" style="238" customWidth="1"/>
    <col min="15384" max="15384" width="9" style="238" customWidth="1"/>
    <col min="15385" max="15385" width="7.7109375" style="238" customWidth="1"/>
    <col min="15386" max="15386" width="7.5703125" style="238" customWidth="1"/>
    <col min="15387" max="15387" width="3.140625" style="238" customWidth="1"/>
    <col min="15388" max="15617" width="11.42578125" style="238"/>
    <col min="15618" max="15618" width="1.7109375" style="238" customWidth="1"/>
    <col min="15619" max="15632" width="11.42578125" style="238"/>
    <col min="15633" max="15633" width="12.28515625" style="238" bestFit="1" customWidth="1"/>
    <col min="15634" max="15635" width="11.42578125" style="238"/>
    <col min="15636" max="15637" width="3.140625" style="238" customWidth="1"/>
    <col min="15638" max="15638" width="6.85546875" style="238" customWidth="1"/>
    <col min="15639" max="15639" width="3.140625" style="238" customWidth="1"/>
    <col min="15640" max="15640" width="9" style="238" customWidth="1"/>
    <col min="15641" max="15641" width="7.7109375" style="238" customWidth="1"/>
    <col min="15642" max="15642" width="7.5703125" style="238" customWidth="1"/>
    <col min="15643" max="15643" width="3.140625" style="238" customWidth="1"/>
    <col min="15644" max="15873" width="11.42578125" style="238"/>
    <col min="15874" max="15874" width="1.7109375" style="238" customWidth="1"/>
    <col min="15875" max="15888" width="11.42578125" style="238"/>
    <col min="15889" max="15889" width="12.28515625" style="238" bestFit="1" customWidth="1"/>
    <col min="15890" max="15891" width="11.42578125" style="238"/>
    <col min="15892" max="15893" width="3.140625" style="238" customWidth="1"/>
    <col min="15894" max="15894" width="6.85546875" style="238" customWidth="1"/>
    <col min="15895" max="15895" width="3.140625" style="238" customWidth="1"/>
    <col min="15896" max="15896" width="9" style="238" customWidth="1"/>
    <col min="15897" max="15897" width="7.7109375" style="238" customWidth="1"/>
    <col min="15898" max="15898" width="7.5703125" style="238" customWidth="1"/>
    <col min="15899" max="15899" width="3.140625" style="238" customWidth="1"/>
    <col min="15900" max="16129" width="11.42578125" style="238"/>
    <col min="16130" max="16130" width="1.7109375" style="238" customWidth="1"/>
    <col min="16131" max="16144" width="11.42578125" style="238"/>
    <col min="16145" max="16145" width="12.28515625" style="238" bestFit="1" customWidth="1"/>
    <col min="16146" max="16147" width="11.42578125" style="238"/>
    <col min="16148" max="16149" width="3.140625" style="238" customWidth="1"/>
    <col min="16150" max="16150" width="6.85546875" style="238" customWidth="1"/>
    <col min="16151" max="16151" width="3.140625" style="238" customWidth="1"/>
    <col min="16152" max="16152" width="9" style="238" customWidth="1"/>
    <col min="16153" max="16153" width="7.7109375" style="238" customWidth="1"/>
    <col min="16154" max="16154" width="7.5703125" style="238" customWidth="1"/>
    <col min="16155" max="16155" width="3.140625" style="238" customWidth="1"/>
    <col min="16156" max="16384" width="11.42578125" style="238"/>
  </cols>
  <sheetData>
    <row r="3" spans="3:29" ht="12.75" customHeight="1">
      <c r="C3" s="1300" t="s">
        <v>644</v>
      </c>
      <c r="D3" s="1301"/>
      <c r="E3" s="1301"/>
      <c r="F3" s="1301"/>
      <c r="G3" s="1301"/>
      <c r="H3" s="1301"/>
      <c r="I3" s="1301"/>
      <c r="J3" s="1301"/>
      <c r="K3" s="1301"/>
      <c r="L3" s="1301"/>
      <c r="M3" s="1301"/>
      <c r="N3" s="1301"/>
      <c r="O3" s="1301"/>
      <c r="P3" s="1301"/>
      <c r="Q3" s="1301"/>
      <c r="R3" s="1301"/>
      <c r="S3" s="1301"/>
      <c r="V3" s="1302" t="s">
        <v>332</v>
      </c>
      <c r="W3" s="1302"/>
      <c r="X3" s="1302"/>
      <c r="Y3" s="1302"/>
      <c r="Z3" s="1302"/>
      <c r="AA3" s="992"/>
      <c r="AB3" s="992"/>
    </row>
    <row r="4" spans="3:29" ht="12.75" customHeight="1">
      <c r="C4" s="1301"/>
      <c r="D4" s="1301"/>
      <c r="E4" s="1301"/>
      <c r="F4" s="1301"/>
      <c r="G4" s="1301"/>
      <c r="H4" s="1301"/>
      <c r="I4" s="1301"/>
      <c r="J4" s="1301"/>
      <c r="K4" s="1301"/>
      <c r="L4" s="1301"/>
      <c r="M4" s="1301"/>
      <c r="N4" s="1301"/>
      <c r="O4" s="1301"/>
      <c r="P4" s="1301"/>
      <c r="Q4" s="1301"/>
      <c r="R4" s="1301"/>
      <c r="S4" s="1301"/>
      <c r="X4" s="275"/>
      <c r="Y4" s="992"/>
      <c r="Z4" s="992"/>
      <c r="AA4" s="992"/>
      <c r="AB4" s="992"/>
    </row>
    <row r="5" spans="3:29" ht="18" customHeight="1">
      <c r="C5" s="1294" t="s">
        <v>645</v>
      </c>
      <c r="D5" s="1294"/>
      <c r="E5" s="1294"/>
      <c r="F5" s="1294"/>
      <c r="G5" s="1294"/>
      <c r="H5" s="1294"/>
      <c r="I5" s="1294"/>
      <c r="J5" s="1294"/>
      <c r="K5" s="1294"/>
      <c r="L5" s="1294"/>
      <c r="M5" s="1294"/>
      <c r="N5" s="1294"/>
      <c r="O5" s="1294"/>
      <c r="P5" s="1294"/>
      <c r="Q5" s="1294"/>
      <c r="R5" s="1294"/>
      <c r="S5" s="1294"/>
      <c r="T5" s="1294"/>
      <c r="U5" s="987"/>
      <c r="V5" s="1294" t="s">
        <v>447</v>
      </c>
      <c r="W5" s="1294"/>
      <c r="X5" s="1294"/>
      <c r="Y5" s="1294"/>
      <c r="Z5" s="1294"/>
      <c r="AA5" s="241"/>
      <c r="AB5" s="241"/>
      <c r="AC5" s="241"/>
    </row>
    <row r="6" spans="3:29" ht="13.5" thickBot="1"/>
    <row r="7" spans="3:29" ht="12.75" customHeight="1">
      <c r="C7" s="1295" t="s">
        <v>164</v>
      </c>
      <c r="D7" s="246"/>
      <c r="E7" s="1303" t="s">
        <v>216</v>
      </c>
      <c r="F7" s="1304"/>
      <c r="G7" s="1304"/>
      <c r="H7" s="1304"/>
      <c r="I7" s="1304"/>
      <c r="J7" s="1304"/>
      <c r="K7" s="1304"/>
      <c r="L7" s="1304"/>
      <c r="M7" s="1304"/>
      <c r="N7" s="1304"/>
      <c r="O7" s="1304"/>
      <c r="P7" s="1304"/>
      <c r="Q7" s="1304"/>
      <c r="R7" s="1304"/>
      <c r="S7" s="1305"/>
      <c r="T7" s="276"/>
      <c r="U7" s="276"/>
      <c r="V7" s="1295" t="s">
        <v>164</v>
      </c>
      <c r="W7" s="1309"/>
      <c r="X7" s="1304" t="s">
        <v>216</v>
      </c>
      <c r="Y7" s="1304"/>
      <c r="Z7" s="1305"/>
    </row>
    <row r="8" spans="3:29" ht="15.75">
      <c r="C8" s="1296"/>
      <c r="D8" s="1312" t="s">
        <v>646</v>
      </c>
      <c r="E8" s="1306"/>
      <c r="F8" s="1307"/>
      <c r="G8" s="1307"/>
      <c r="H8" s="1307"/>
      <c r="I8" s="1307"/>
      <c r="J8" s="1307"/>
      <c r="K8" s="1307"/>
      <c r="L8" s="1307"/>
      <c r="M8" s="1307"/>
      <c r="N8" s="1307"/>
      <c r="O8" s="1307"/>
      <c r="P8" s="1307"/>
      <c r="Q8" s="1307"/>
      <c r="R8" s="1307"/>
      <c r="S8" s="1308"/>
      <c r="T8" s="276"/>
      <c r="U8" s="276"/>
      <c r="V8" s="1296"/>
      <c r="W8" s="1310"/>
      <c r="X8" s="1307"/>
      <c r="Y8" s="1307"/>
      <c r="Z8" s="1308"/>
    </row>
    <row r="9" spans="3:29" ht="12.75" customHeight="1">
      <c r="C9" s="1296"/>
      <c r="D9" s="1313"/>
      <c r="E9" s="1315" t="s">
        <v>647</v>
      </c>
      <c r="F9" s="1316"/>
      <c r="G9" s="1317"/>
      <c r="H9" s="1322" t="s">
        <v>221</v>
      </c>
      <c r="I9" s="1322" t="s">
        <v>448</v>
      </c>
      <c r="J9" s="1316" t="s">
        <v>217</v>
      </c>
      <c r="K9" s="1316"/>
      <c r="L9" s="1317"/>
      <c r="M9" s="1325" t="s">
        <v>218</v>
      </c>
      <c r="N9" s="1316"/>
      <c r="O9" s="1317"/>
      <c r="P9" s="1322" t="s">
        <v>448</v>
      </c>
      <c r="Q9" s="1315" t="s">
        <v>449</v>
      </c>
      <c r="R9" s="1316"/>
      <c r="S9" s="1326"/>
      <c r="T9" s="277"/>
      <c r="U9" s="277"/>
      <c r="V9" s="1296"/>
      <c r="W9" s="1310"/>
      <c r="X9" s="1318" t="s">
        <v>3</v>
      </c>
      <c r="Y9" s="1319"/>
      <c r="Z9" s="1320"/>
    </row>
    <row r="10" spans="3:29" ht="13.5" thickBot="1">
      <c r="C10" s="1297"/>
      <c r="D10" s="1314"/>
      <c r="E10" s="278" t="s">
        <v>219</v>
      </c>
      <c r="F10" s="279" t="s">
        <v>220</v>
      </c>
      <c r="G10" s="280" t="s">
        <v>648</v>
      </c>
      <c r="H10" s="1323"/>
      <c r="I10" s="1324"/>
      <c r="J10" s="281" t="s">
        <v>158</v>
      </c>
      <c r="K10" s="715" t="s">
        <v>222</v>
      </c>
      <c r="L10" s="1179" t="s">
        <v>223</v>
      </c>
      <c r="M10" s="279" t="s">
        <v>219</v>
      </c>
      <c r="N10" s="279" t="s">
        <v>220</v>
      </c>
      <c r="O10" s="280" t="s">
        <v>221</v>
      </c>
      <c r="P10" s="1323"/>
      <c r="Q10" s="278" t="s">
        <v>158</v>
      </c>
      <c r="R10" s="279" t="s">
        <v>189</v>
      </c>
      <c r="S10" s="282" t="s">
        <v>224</v>
      </c>
      <c r="T10" s="283"/>
      <c r="U10" s="283"/>
      <c r="V10" s="1297"/>
      <c r="W10" s="1311"/>
      <c r="X10" s="284" t="s">
        <v>158</v>
      </c>
      <c r="Y10" s="284" t="s">
        <v>189</v>
      </c>
      <c r="Z10" s="716" t="s">
        <v>224</v>
      </c>
    </row>
    <row r="11" spans="3:29">
      <c r="C11" s="990"/>
      <c r="D11" s="993"/>
      <c r="E11" s="285"/>
      <c r="F11" s="283"/>
      <c r="G11" s="283"/>
      <c r="H11" s="1115"/>
      <c r="I11" s="717"/>
      <c r="J11" s="718"/>
      <c r="K11" s="718"/>
      <c r="L11" s="718"/>
      <c r="M11" s="285"/>
      <c r="N11" s="283"/>
      <c r="O11" s="286"/>
      <c r="P11" s="718"/>
      <c r="Q11" s="285"/>
      <c r="R11" s="283"/>
      <c r="S11" s="719"/>
      <c r="T11" s="283"/>
      <c r="U11" s="283"/>
      <c r="V11" s="989"/>
      <c r="W11" s="720"/>
      <c r="X11" s="721"/>
      <c r="Y11" s="721"/>
      <c r="Z11" s="722"/>
    </row>
    <row r="12" spans="3:29">
      <c r="C12" s="288">
        <v>1970</v>
      </c>
      <c r="D12" s="993"/>
      <c r="E12" s="289">
        <v>1232.7</v>
      </c>
      <c r="F12" s="290">
        <v>3546.1</v>
      </c>
      <c r="G12" s="1116">
        <f>(E12/F12)*100</f>
        <v>34.762133047573393</v>
      </c>
      <c r="H12" s="1117">
        <f t="shared" ref="H12:H53" si="0">F12/$F$38*100</f>
        <v>38.039712082041596</v>
      </c>
      <c r="I12" s="717"/>
      <c r="J12" s="718"/>
      <c r="K12" s="718"/>
      <c r="L12" s="718"/>
      <c r="M12" s="723"/>
      <c r="N12" s="283"/>
      <c r="O12" s="286"/>
      <c r="P12" s="718"/>
      <c r="Q12" s="289"/>
      <c r="R12" s="283"/>
      <c r="S12" s="719"/>
      <c r="T12" s="283"/>
      <c r="U12" s="283"/>
      <c r="V12" s="288">
        <v>1970</v>
      </c>
      <c r="W12" s="283"/>
      <c r="X12" s="724"/>
      <c r="Y12" s="724"/>
      <c r="Z12" s="725"/>
    </row>
    <row r="13" spans="3:29">
      <c r="C13" s="726">
        <f>C12+1</f>
        <v>1971</v>
      </c>
      <c r="D13" s="993"/>
      <c r="E13" s="727">
        <v>1390.9</v>
      </c>
      <c r="F13" s="728">
        <v>3886.7</v>
      </c>
      <c r="G13" s="1116">
        <f t="shared" ref="G13:G53" si="1">(E13/F13)*100</f>
        <v>35.786142485913501</v>
      </c>
      <c r="H13" s="1117">
        <f t="shared" si="0"/>
        <v>41.69339526501539</v>
      </c>
      <c r="I13" s="729">
        <f>(H13/H12-1)*100</f>
        <v>9.6049180790163788</v>
      </c>
      <c r="J13" s="718"/>
      <c r="K13" s="718"/>
      <c r="L13" s="718"/>
      <c r="M13" s="285"/>
      <c r="N13" s="283"/>
      <c r="O13" s="286"/>
      <c r="P13" s="718"/>
      <c r="Q13" s="727"/>
      <c r="R13" s="283"/>
      <c r="S13" s="719"/>
      <c r="T13" s="283"/>
      <c r="U13" s="283"/>
      <c r="V13" s="726">
        <v>1971</v>
      </c>
      <c r="W13" s="283"/>
      <c r="X13" s="730" t="e">
        <f t="shared" ref="X13:X52" si="2">Q13/Q12-1</f>
        <v>#DIV/0!</v>
      </c>
      <c r="Y13" s="724"/>
      <c r="Z13" s="725"/>
    </row>
    <row r="14" spans="3:29">
      <c r="C14" s="726">
        <f t="shared" ref="C14:C23" si="3">C13+1</f>
        <v>1972</v>
      </c>
      <c r="D14" s="993"/>
      <c r="E14" s="727">
        <v>1528.3</v>
      </c>
      <c r="F14" s="728">
        <v>4066</v>
      </c>
      <c r="G14" s="1116">
        <f t="shared" si="1"/>
        <v>37.587309394982782</v>
      </c>
      <c r="H14" s="1117">
        <f t="shared" si="0"/>
        <v>43.616781626457559</v>
      </c>
      <c r="I14" s="729">
        <f>(H14/H13-1)*100</f>
        <v>4.6131679831219463</v>
      </c>
      <c r="J14" s="718"/>
      <c r="K14" s="718"/>
      <c r="L14" s="718"/>
      <c r="M14" s="285"/>
      <c r="N14" s="283"/>
      <c r="O14" s="286"/>
      <c r="P14" s="718"/>
      <c r="Q14" s="727"/>
      <c r="R14" s="283"/>
      <c r="S14" s="719"/>
      <c r="T14" s="283"/>
      <c r="U14" s="283"/>
      <c r="V14" s="726">
        <v>1972</v>
      </c>
      <c r="W14" s="283"/>
      <c r="X14" s="730" t="e">
        <f t="shared" si="2"/>
        <v>#DIV/0!</v>
      </c>
      <c r="Y14" s="724"/>
      <c r="Z14" s="725"/>
    </row>
    <row r="15" spans="3:29">
      <c r="C15" s="726">
        <f t="shared" si="3"/>
        <v>1973</v>
      </c>
      <c r="D15" s="993"/>
      <c r="E15" s="727">
        <v>1748.1</v>
      </c>
      <c r="F15" s="728">
        <v>4285.8</v>
      </c>
      <c r="G15" s="1116">
        <f t="shared" si="1"/>
        <v>40.788184236315274</v>
      </c>
      <c r="H15" s="1117">
        <f t="shared" si="0"/>
        <v>45.974619452698427</v>
      </c>
      <c r="I15" s="729">
        <f t="shared" ref="I15:I32" si="4">(H15/H14-1)*100</f>
        <v>5.4058042302016718</v>
      </c>
      <c r="J15" s="718"/>
      <c r="K15" s="718"/>
      <c r="L15" s="718"/>
      <c r="M15" s="285"/>
      <c r="N15" s="283"/>
      <c r="O15" s="286"/>
      <c r="P15" s="718"/>
      <c r="Q15" s="727"/>
      <c r="R15" s="283"/>
      <c r="S15" s="719"/>
      <c r="T15" s="283"/>
      <c r="U15" s="283"/>
      <c r="V15" s="726">
        <v>1973</v>
      </c>
      <c r="W15" s="283"/>
      <c r="X15" s="730" t="e">
        <f t="shared" si="2"/>
        <v>#DIV/0!</v>
      </c>
      <c r="Y15" s="724"/>
      <c r="Z15" s="725"/>
    </row>
    <row r="16" spans="3:29">
      <c r="C16" s="726">
        <f t="shared" si="3"/>
        <v>1974</v>
      </c>
      <c r="D16" s="993"/>
      <c r="E16" s="727">
        <v>1997.7</v>
      </c>
      <c r="F16" s="728">
        <v>4389.8</v>
      </c>
      <c r="G16" s="1116">
        <f t="shared" si="1"/>
        <v>45.507768007654107</v>
      </c>
      <c r="H16" s="1117">
        <f t="shared" si="0"/>
        <v>47.09024790551485</v>
      </c>
      <c r="I16" s="729">
        <f t="shared" si="4"/>
        <v>2.4266181343039817</v>
      </c>
      <c r="J16" s="718"/>
      <c r="K16" s="718"/>
      <c r="L16" s="718"/>
      <c r="M16" s="285"/>
      <c r="N16" s="283"/>
      <c r="O16" s="286"/>
      <c r="P16" s="718"/>
      <c r="Q16" s="727"/>
      <c r="R16" s="283"/>
      <c r="S16" s="719"/>
      <c r="T16" s="283"/>
      <c r="U16" s="283"/>
      <c r="V16" s="726">
        <v>1974</v>
      </c>
      <c r="W16" s="283"/>
      <c r="X16" s="730" t="e">
        <f t="shared" si="2"/>
        <v>#DIV/0!</v>
      </c>
      <c r="Y16" s="724"/>
      <c r="Z16" s="725"/>
    </row>
    <row r="17" spans="3:26">
      <c r="C17" s="726">
        <f t="shared" si="3"/>
        <v>1975</v>
      </c>
      <c r="D17" s="993"/>
      <c r="E17" s="727">
        <v>2237.6999999999998</v>
      </c>
      <c r="F17" s="728">
        <v>4460</v>
      </c>
      <c r="G17" s="1116">
        <f t="shared" si="1"/>
        <v>50.172645739910301</v>
      </c>
      <c r="H17" s="1117">
        <f t="shared" si="0"/>
        <v>47.843297111165938</v>
      </c>
      <c r="I17" s="729">
        <f t="shared" si="4"/>
        <v>1.5991616930156383</v>
      </c>
      <c r="J17" s="718"/>
      <c r="K17" s="718"/>
      <c r="L17" s="718"/>
      <c r="M17" s="285"/>
      <c r="N17" s="283"/>
      <c r="O17" s="286"/>
      <c r="P17" s="718"/>
      <c r="Q17" s="727"/>
      <c r="R17" s="283"/>
      <c r="S17" s="719"/>
      <c r="T17" s="283"/>
      <c r="U17" s="283"/>
      <c r="V17" s="726">
        <v>1975</v>
      </c>
      <c r="W17" s="283"/>
      <c r="X17" s="730" t="e">
        <f t="shared" si="2"/>
        <v>#DIV/0!</v>
      </c>
      <c r="Y17" s="724"/>
      <c r="Z17" s="725"/>
    </row>
    <row r="18" spans="3:26">
      <c r="C18" s="726">
        <f t="shared" si="3"/>
        <v>1976</v>
      </c>
      <c r="D18" s="993"/>
      <c r="E18" s="727">
        <v>2376.6</v>
      </c>
      <c r="F18" s="728">
        <v>4532.8999999999996</v>
      </c>
      <c r="G18" s="1116">
        <f t="shared" si="1"/>
        <v>52.430011692294123</v>
      </c>
      <c r="H18" s="1117">
        <f t="shared" si="0"/>
        <v>48.625309747803605</v>
      </c>
      <c r="I18" s="729">
        <f t="shared" si="4"/>
        <v>1.6345291479820556</v>
      </c>
      <c r="J18" s="718"/>
      <c r="K18" s="718"/>
      <c r="L18" s="718"/>
      <c r="M18" s="285"/>
      <c r="N18" s="283"/>
      <c r="O18" s="286"/>
      <c r="P18" s="718"/>
      <c r="Q18" s="727"/>
      <c r="R18" s="283"/>
      <c r="S18" s="719"/>
      <c r="T18" s="283"/>
      <c r="U18" s="283"/>
      <c r="V18" s="726">
        <v>1976</v>
      </c>
      <c r="W18" s="283"/>
      <c r="X18" s="730" t="e">
        <f t="shared" si="2"/>
        <v>#DIV/0!</v>
      </c>
      <c r="Y18" s="724"/>
      <c r="Z18" s="725"/>
    </row>
    <row r="19" spans="3:26">
      <c r="C19" s="726">
        <f t="shared" si="3"/>
        <v>1977</v>
      </c>
      <c r="D19" s="993"/>
      <c r="E19" s="727">
        <v>2519.9</v>
      </c>
      <c r="F19" s="728">
        <v>4583.5</v>
      </c>
      <c r="G19" s="1116">
        <f t="shared" si="1"/>
        <v>54.97763717682993</v>
      </c>
      <c r="H19" s="1117">
        <f t="shared" si="0"/>
        <v>49.168105898885443</v>
      </c>
      <c r="I19" s="729">
        <f t="shared" si="4"/>
        <v>1.1162831741269308</v>
      </c>
      <c r="J19" s="718"/>
      <c r="K19" s="718"/>
      <c r="L19" s="718"/>
      <c r="M19" s="285"/>
      <c r="N19" s="283"/>
      <c r="O19" s="286"/>
      <c r="P19" s="718"/>
      <c r="Q19" s="727"/>
      <c r="R19" s="283"/>
      <c r="S19" s="719"/>
      <c r="T19" s="283"/>
      <c r="U19" s="283"/>
      <c r="V19" s="726">
        <v>1977</v>
      </c>
      <c r="W19" s="283"/>
      <c r="X19" s="730" t="e">
        <f t="shared" si="2"/>
        <v>#DIV/0!</v>
      </c>
      <c r="Y19" s="724"/>
      <c r="Z19" s="725"/>
    </row>
    <row r="20" spans="3:26">
      <c r="C20" s="726">
        <f t="shared" si="3"/>
        <v>1978</v>
      </c>
      <c r="D20" s="993"/>
      <c r="E20" s="727">
        <v>2987.5</v>
      </c>
      <c r="F20" s="728">
        <v>5032.8999999999996</v>
      </c>
      <c r="G20" s="1116">
        <f t="shared" si="1"/>
        <v>59.359415048977723</v>
      </c>
      <c r="H20" s="1117">
        <f t="shared" si="0"/>
        <v>53.988908078651797</v>
      </c>
      <c r="I20" s="729">
        <f t="shared" si="4"/>
        <v>9.8047343732954992</v>
      </c>
      <c r="J20" s="718"/>
      <c r="K20" s="718"/>
      <c r="L20" s="718"/>
      <c r="M20" s="285"/>
      <c r="N20" s="283"/>
      <c r="O20" s="286"/>
      <c r="P20" s="718"/>
      <c r="Q20" s="727"/>
      <c r="R20" s="283"/>
      <c r="S20" s="719"/>
      <c r="T20" s="283"/>
      <c r="U20" s="283"/>
      <c r="V20" s="726">
        <v>1978</v>
      </c>
      <c r="W20" s="283"/>
      <c r="X20" s="730" t="e">
        <f t="shared" si="2"/>
        <v>#DIV/0!</v>
      </c>
      <c r="Y20" s="724"/>
      <c r="Z20" s="725"/>
    </row>
    <row r="21" spans="3:26">
      <c r="C21" s="726">
        <f t="shared" si="3"/>
        <v>1979</v>
      </c>
      <c r="D21" s="993"/>
      <c r="E21" s="727">
        <v>3419.5</v>
      </c>
      <c r="F21" s="728">
        <v>5258.7</v>
      </c>
      <c r="G21" s="1116">
        <f t="shared" si="1"/>
        <v>65.025576663433924</v>
      </c>
      <c r="H21" s="1117">
        <f t="shared" si="0"/>
        <v>56.411109084862851</v>
      </c>
      <c r="I21" s="729">
        <f t="shared" si="4"/>
        <v>4.4864789683880302</v>
      </c>
      <c r="J21" s="718"/>
      <c r="K21" s="718"/>
      <c r="L21" s="718"/>
      <c r="M21" s="285"/>
      <c r="N21" s="283"/>
      <c r="O21" s="286"/>
      <c r="P21" s="718"/>
      <c r="Q21" s="727"/>
      <c r="R21" s="283"/>
      <c r="S21" s="719"/>
      <c r="T21" s="283"/>
      <c r="U21" s="283"/>
      <c r="V21" s="726">
        <v>1979</v>
      </c>
      <c r="W21" s="283"/>
      <c r="X21" s="730" t="e">
        <f t="shared" si="2"/>
        <v>#DIV/0!</v>
      </c>
      <c r="Y21" s="724"/>
      <c r="Z21" s="725"/>
    </row>
    <row r="22" spans="3:26">
      <c r="C22" s="726">
        <f t="shared" si="3"/>
        <v>1980</v>
      </c>
      <c r="D22" s="993"/>
      <c r="E22" s="727">
        <v>4357.7</v>
      </c>
      <c r="F22" s="728">
        <v>6058.7</v>
      </c>
      <c r="G22" s="1116">
        <f t="shared" si="1"/>
        <v>71.924670308812125</v>
      </c>
      <c r="H22" s="1117">
        <f t="shared" si="0"/>
        <v>64.992866414219961</v>
      </c>
      <c r="I22" s="729">
        <f t="shared" si="4"/>
        <v>15.212885313860824</v>
      </c>
      <c r="J22" s="718"/>
      <c r="K22" s="718"/>
      <c r="L22" s="718"/>
      <c r="M22" s="285"/>
      <c r="N22" s="283"/>
      <c r="O22" s="286"/>
      <c r="P22" s="718"/>
      <c r="Q22" s="727"/>
      <c r="R22" s="283"/>
      <c r="S22" s="719"/>
      <c r="T22" s="283"/>
      <c r="U22" s="283"/>
      <c r="V22" s="726">
        <v>1980</v>
      </c>
      <c r="W22" s="283"/>
      <c r="X22" s="730" t="e">
        <f t="shared" si="2"/>
        <v>#DIV/0!</v>
      </c>
      <c r="Y22" s="724"/>
      <c r="Z22" s="725"/>
    </row>
    <row r="23" spans="3:26">
      <c r="C23" s="726">
        <f t="shared" si="3"/>
        <v>1981</v>
      </c>
      <c r="D23" s="993"/>
      <c r="E23" s="727">
        <v>4923.3</v>
      </c>
      <c r="F23" s="728">
        <v>6616.6</v>
      </c>
      <c r="G23" s="1116">
        <f t="shared" si="1"/>
        <v>74.408306380920706</v>
      </c>
      <c r="H23" s="1117">
        <f t="shared" si="0"/>
        <v>70.977569431780395</v>
      </c>
      <c r="I23" s="729">
        <f t="shared" si="4"/>
        <v>9.2082459933649385</v>
      </c>
      <c r="J23" s="718"/>
      <c r="K23" s="718"/>
      <c r="L23" s="718"/>
      <c r="M23" s="285"/>
      <c r="N23" s="283"/>
      <c r="O23" s="286"/>
      <c r="P23" s="718"/>
      <c r="Q23" s="727"/>
      <c r="R23" s="283"/>
      <c r="S23" s="719"/>
      <c r="T23" s="283"/>
      <c r="U23" s="283"/>
      <c r="V23" s="726">
        <v>1981</v>
      </c>
      <c r="W23" s="283"/>
      <c r="X23" s="730" t="e">
        <f t="shared" si="2"/>
        <v>#DIV/0!</v>
      </c>
      <c r="Y23" s="724"/>
      <c r="Z23" s="725"/>
    </row>
    <row r="24" spans="3:26" ht="12.75" customHeight="1">
      <c r="C24" s="288">
        <f>C23+1</f>
        <v>1982</v>
      </c>
      <c r="D24" s="1321" t="s">
        <v>225</v>
      </c>
      <c r="E24" s="289">
        <v>5449.2</v>
      </c>
      <c r="F24" s="290">
        <v>6970.4</v>
      </c>
      <c r="G24" s="1116">
        <f t="shared" si="1"/>
        <v>78.176288304831871</v>
      </c>
      <c r="H24" s="1117">
        <f t="shared" si="0"/>
        <v>74.772851610688576</v>
      </c>
      <c r="I24" s="729">
        <f t="shared" si="4"/>
        <v>5.3471571501979787</v>
      </c>
      <c r="J24" s="290"/>
      <c r="K24" s="290"/>
      <c r="L24" s="290"/>
      <c r="M24" s="289">
        <v>4767.7</v>
      </c>
      <c r="N24" s="290">
        <v>4767.7</v>
      </c>
      <c r="O24" s="291">
        <f>(M24/N24)*100</f>
        <v>100</v>
      </c>
      <c r="P24" s="290"/>
      <c r="Q24" s="727"/>
      <c r="R24" s="247"/>
      <c r="S24" s="250"/>
      <c r="T24" s="247"/>
      <c r="U24" s="247"/>
      <c r="V24" s="288">
        <v>1982</v>
      </c>
      <c r="W24" s="247"/>
      <c r="X24" s="730" t="e">
        <f t="shared" si="2"/>
        <v>#DIV/0!</v>
      </c>
      <c r="Y24" s="247"/>
      <c r="Z24" s="250"/>
    </row>
    <row r="25" spans="3:26" ht="12.75" customHeight="1">
      <c r="C25" s="726">
        <f>C24+1</f>
        <v>1983</v>
      </c>
      <c r="D25" s="1321"/>
      <c r="E25" s="727">
        <v>5594.7</v>
      </c>
      <c r="F25" s="290">
        <v>6657.4</v>
      </c>
      <c r="G25" s="1116">
        <f t="shared" si="1"/>
        <v>84.037311863490245</v>
      </c>
      <c r="H25" s="1117">
        <f t="shared" si="0"/>
        <v>71.415239055577601</v>
      </c>
      <c r="I25" s="729">
        <f t="shared" si="4"/>
        <v>-4.4904166188454049</v>
      </c>
      <c r="J25" s="290"/>
      <c r="K25" s="290"/>
      <c r="L25" s="290"/>
      <c r="M25" s="289"/>
      <c r="N25" s="290"/>
      <c r="O25" s="291"/>
      <c r="P25" s="290"/>
      <c r="Q25" s="727"/>
      <c r="R25" s="247"/>
      <c r="S25" s="250"/>
      <c r="T25" s="247"/>
      <c r="U25" s="247"/>
      <c r="V25" s="726">
        <v>1983</v>
      </c>
      <c r="W25" s="247"/>
      <c r="X25" s="730" t="e">
        <f t="shared" si="2"/>
        <v>#DIV/0!</v>
      </c>
      <c r="Y25" s="247"/>
      <c r="Z25" s="250"/>
    </row>
    <row r="26" spans="3:26" ht="12.75" customHeight="1">
      <c r="C26" s="726">
        <f t="shared" ref="C26:C69" si="5">C25+1</f>
        <v>1984</v>
      </c>
      <c r="D26" s="1321"/>
      <c r="E26" s="727">
        <v>5839.9</v>
      </c>
      <c r="F26" s="290">
        <v>6837.7</v>
      </c>
      <c r="G26" s="1116">
        <f t="shared" si="1"/>
        <v>85.407373824531646</v>
      </c>
      <c r="H26" s="1117">
        <f t="shared" si="0"/>
        <v>73.349352613681461</v>
      </c>
      <c r="I26" s="729">
        <f t="shared" si="4"/>
        <v>2.7082644876378126</v>
      </c>
      <c r="J26" s="290"/>
      <c r="K26" s="290"/>
      <c r="L26" s="290"/>
      <c r="M26" s="289"/>
      <c r="N26" s="290"/>
      <c r="O26" s="291"/>
      <c r="P26" s="290"/>
      <c r="Q26" s="727"/>
      <c r="R26" s="247"/>
      <c r="S26" s="250"/>
      <c r="T26" s="247"/>
      <c r="U26" s="247"/>
      <c r="V26" s="726">
        <v>1984</v>
      </c>
      <c r="W26" s="247"/>
      <c r="X26" s="730" t="e">
        <f t="shared" si="2"/>
        <v>#DIV/0!</v>
      </c>
      <c r="Y26" s="247"/>
      <c r="Z26" s="250"/>
    </row>
    <row r="27" spans="3:26" ht="12.75" customHeight="1">
      <c r="C27" s="726">
        <f t="shared" si="5"/>
        <v>1985</v>
      </c>
      <c r="D27" s="1321"/>
      <c r="E27" s="727">
        <v>6178.1</v>
      </c>
      <c r="F27" s="290">
        <v>7175.7</v>
      </c>
      <c r="G27" s="1116">
        <f t="shared" si="1"/>
        <v>86.097523586549045</v>
      </c>
      <c r="H27" s="1117">
        <f t="shared" si="0"/>
        <v>76.975145085334844</v>
      </c>
      <c r="I27" s="729">
        <f t="shared" si="4"/>
        <v>4.9431826491364017</v>
      </c>
      <c r="J27" s="290"/>
      <c r="K27" s="290"/>
      <c r="L27" s="290"/>
      <c r="M27" s="289"/>
      <c r="N27" s="290"/>
      <c r="O27" s="291"/>
      <c r="P27" s="290"/>
      <c r="Q27" s="727"/>
      <c r="R27" s="247"/>
      <c r="S27" s="250"/>
      <c r="T27" s="247"/>
      <c r="U27" s="247"/>
      <c r="V27" s="726">
        <v>1985</v>
      </c>
      <c r="W27" s="247"/>
      <c r="X27" s="730" t="e">
        <f t="shared" si="2"/>
        <v>#DIV/0!</v>
      </c>
      <c r="Y27" s="247"/>
      <c r="Z27" s="250"/>
    </row>
    <row r="28" spans="3:26" ht="12.75" customHeight="1">
      <c r="C28" s="726">
        <f t="shared" si="5"/>
        <v>1986</v>
      </c>
      <c r="D28" s="1321"/>
      <c r="E28" s="727">
        <v>6420.2</v>
      </c>
      <c r="F28" s="290">
        <v>7431.7</v>
      </c>
      <c r="G28" s="1116">
        <f t="shared" si="1"/>
        <v>86.38938600858485</v>
      </c>
      <c r="H28" s="1117">
        <f t="shared" si="0"/>
        <v>79.721307430729127</v>
      </c>
      <c r="I28" s="729">
        <f t="shared" si="4"/>
        <v>3.5675961927059463</v>
      </c>
      <c r="J28" s="290"/>
      <c r="K28" s="290"/>
      <c r="L28" s="290"/>
      <c r="M28" s="289"/>
      <c r="N28" s="290"/>
      <c r="O28" s="291"/>
      <c r="P28" s="290"/>
      <c r="Q28" s="727"/>
      <c r="R28" s="247"/>
      <c r="S28" s="250"/>
      <c r="T28" s="247"/>
      <c r="U28" s="247"/>
      <c r="V28" s="726">
        <v>1986</v>
      </c>
      <c r="W28" s="247"/>
      <c r="X28" s="730" t="e">
        <f t="shared" si="2"/>
        <v>#DIV/0!</v>
      </c>
      <c r="Y28" s="247"/>
      <c r="Z28" s="250"/>
    </row>
    <row r="29" spans="3:26" ht="12.75" customHeight="1">
      <c r="C29" s="726">
        <f t="shared" si="5"/>
        <v>1987</v>
      </c>
      <c r="D29" s="1321"/>
      <c r="E29" s="727">
        <v>6448.3</v>
      </c>
      <c r="F29" s="290">
        <v>7297.3</v>
      </c>
      <c r="G29" s="1116">
        <f t="shared" si="1"/>
        <v>88.365559864607462</v>
      </c>
      <c r="H29" s="1117">
        <f t="shared" si="0"/>
        <v>78.279572199397123</v>
      </c>
      <c r="I29" s="729">
        <f t="shared" si="4"/>
        <v>-1.8084691255029206</v>
      </c>
      <c r="J29" s="290"/>
      <c r="K29" s="290"/>
      <c r="L29" s="290"/>
      <c r="M29" s="289"/>
      <c r="N29" s="290"/>
      <c r="O29" s="291"/>
      <c r="P29" s="290"/>
      <c r="Q29" s="727"/>
      <c r="R29" s="247"/>
      <c r="S29" s="250"/>
      <c r="T29" s="247"/>
      <c r="U29" s="247"/>
      <c r="V29" s="726">
        <v>1987</v>
      </c>
      <c r="W29" s="247"/>
      <c r="X29" s="730" t="e">
        <f t="shared" si="2"/>
        <v>#DIV/0!</v>
      </c>
      <c r="Y29" s="247"/>
      <c r="Z29" s="250"/>
    </row>
    <row r="30" spans="3:26" ht="12.75" customHeight="1">
      <c r="C30" s="726">
        <f t="shared" si="5"/>
        <v>1988</v>
      </c>
      <c r="D30" s="1321"/>
      <c r="E30" s="727">
        <v>5574.8</v>
      </c>
      <c r="F30" s="290">
        <v>6320.9</v>
      </c>
      <c r="G30" s="1116">
        <f t="shared" si="1"/>
        <v>88.196301159645003</v>
      </c>
      <c r="H30" s="1117">
        <f t="shared" si="0"/>
        <v>67.805537378916753</v>
      </c>
      <c r="I30" s="729">
        <f t="shared" si="4"/>
        <v>-13.380291340632844</v>
      </c>
      <c r="J30" s="290"/>
      <c r="K30" s="290"/>
      <c r="L30" s="290"/>
      <c r="M30" s="289"/>
      <c r="N30" s="290"/>
      <c r="O30" s="291"/>
      <c r="P30" s="290"/>
      <c r="Q30" s="727"/>
      <c r="R30" s="247"/>
      <c r="S30" s="250"/>
      <c r="T30" s="247"/>
      <c r="U30" s="247"/>
      <c r="V30" s="726">
        <v>1988</v>
      </c>
      <c r="W30" s="247"/>
      <c r="X30" s="730" t="e">
        <f t="shared" si="2"/>
        <v>#DIV/0!</v>
      </c>
      <c r="Y30" s="247"/>
      <c r="Z30" s="250"/>
    </row>
    <row r="31" spans="3:26" ht="12.75" customHeight="1">
      <c r="C31" s="726">
        <f t="shared" si="5"/>
        <v>1989</v>
      </c>
      <c r="D31" s="1321"/>
      <c r="E31" s="727">
        <v>5589.6</v>
      </c>
      <c r="F31" s="290">
        <v>6419.6</v>
      </c>
      <c r="G31" s="1116">
        <f t="shared" si="1"/>
        <v>87.070845535547392</v>
      </c>
      <c r="H31" s="1117">
        <f t="shared" si="0"/>
        <v>68.864311689426202</v>
      </c>
      <c r="I31" s="729">
        <f t="shared" si="4"/>
        <v>1.5614864971760456</v>
      </c>
      <c r="J31" s="290"/>
      <c r="K31" s="290"/>
      <c r="L31" s="290"/>
      <c r="M31" s="289"/>
      <c r="N31" s="290"/>
      <c r="O31" s="291"/>
      <c r="P31" s="290"/>
      <c r="Q31" s="727"/>
      <c r="R31" s="247"/>
      <c r="S31" s="250"/>
      <c r="T31" s="247"/>
      <c r="U31" s="247"/>
      <c r="V31" s="726">
        <v>1989</v>
      </c>
      <c r="W31" s="247"/>
      <c r="X31" s="730" t="e">
        <f t="shared" si="2"/>
        <v>#DIV/0!</v>
      </c>
      <c r="Y31" s="247"/>
      <c r="Z31" s="250"/>
    </row>
    <row r="32" spans="3:26" ht="12.75" customHeight="1">
      <c r="C32" s="726">
        <f t="shared" si="5"/>
        <v>1990</v>
      </c>
      <c r="D32" s="1321"/>
      <c r="E32" s="294">
        <v>6076.5</v>
      </c>
      <c r="F32" s="295">
        <v>6939.6</v>
      </c>
      <c r="G32" s="1116">
        <f t="shared" si="1"/>
        <v>87.562683728168764</v>
      </c>
      <c r="H32" s="1117">
        <f t="shared" si="0"/>
        <v>74.44245395350832</v>
      </c>
      <c r="I32" s="729">
        <f t="shared" si="4"/>
        <v>8.1001931584522282</v>
      </c>
      <c r="J32" s="295"/>
      <c r="K32" s="295"/>
      <c r="L32" s="295"/>
      <c r="M32" s="294">
        <v>5313.2</v>
      </c>
      <c r="N32" s="295">
        <v>4743.6000000000004</v>
      </c>
      <c r="O32" s="296">
        <f>(N32/$N$24)*100</f>
        <v>99.494515175031992</v>
      </c>
      <c r="P32" s="297"/>
      <c r="Q32" s="295">
        <f>N32</f>
        <v>4743.6000000000004</v>
      </c>
      <c r="R32" s="295">
        <f>N32</f>
        <v>4743.6000000000004</v>
      </c>
      <c r="S32" s="298">
        <f>N32</f>
        <v>4743.6000000000004</v>
      </c>
      <c r="T32" s="295"/>
      <c r="U32" s="295"/>
      <c r="V32" s="293">
        <v>1990</v>
      </c>
      <c r="W32" s="295"/>
      <c r="X32" s="730" t="e">
        <f t="shared" si="2"/>
        <v>#DIV/0!</v>
      </c>
      <c r="Y32" s="247"/>
      <c r="Z32" s="250"/>
    </row>
    <row r="33" spans="3:26">
      <c r="C33" s="726">
        <f t="shared" si="5"/>
        <v>1991</v>
      </c>
      <c r="D33" s="1321"/>
      <c r="E33" s="294">
        <v>6681.6</v>
      </c>
      <c r="F33" s="295">
        <v>7593.2</v>
      </c>
      <c r="G33" s="1116">
        <f t="shared" si="1"/>
        <v>87.994521413896649</v>
      </c>
      <c r="H33" s="1117">
        <f t="shared" si="0"/>
        <v>81.453749691593089</v>
      </c>
      <c r="I33" s="729">
        <f>(H33/H32-1)*100</f>
        <v>9.4184102830134453</v>
      </c>
      <c r="J33" s="299"/>
      <c r="K33" s="299"/>
      <c r="L33" s="299"/>
      <c r="M33" s="300">
        <v>5842.3</v>
      </c>
      <c r="N33" s="295">
        <v>5190.4000000000005</v>
      </c>
      <c r="O33" s="296">
        <f t="shared" ref="O33:O42" si="6">(N33/$N$24)*100</f>
        <v>108.86591018730208</v>
      </c>
      <c r="P33" s="301">
        <f>O33/O32-1</f>
        <v>9.4190066616072432E-2</v>
      </c>
      <c r="Q33" s="295">
        <f t="shared" ref="Q33:Q42" si="7">N33</f>
        <v>5190.4000000000005</v>
      </c>
      <c r="R33" s="295">
        <f t="shared" ref="R33:R42" si="8">N33</f>
        <v>5190.4000000000005</v>
      </c>
      <c r="S33" s="298">
        <f t="shared" ref="S33:S42" si="9">N33</f>
        <v>5190.4000000000005</v>
      </c>
      <c r="T33" s="295"/>
      <c r="U33" s="295"/>
      <c r="V33" s="293">
        <v>1991</v>
      </c>
      <c r="W33" s="295"/>
      <c r="X33" s="730">
        <f t="shared" si="2"/>
        <v>9.419006661607221E-2</v>
      </c>
      <c r="Y33" s="730"/>
      <c r="Z33" s="304"/>
    </row>
    <row r="34" spans="3:26">
      <c r="C34" s="726">
        <f t="shared" si="5"/>
        <v>1992</v>
      </c>
      <c r="D34" s="1321"/>
      <c r="E34" s="294">
        <v>7595.5</v>
      </c>
      <c r="F34" s="295">
        <v>8216</v>
      </c>
      <c r="G34" s="1116">
        <f t="shared" si="1"/>
        <v>92.447663096397264</v>
      </c>
      <c r="H34" s="1117">
        <f t="shared" si="0"/>
        <v>88.134647772497615</v>
      </c>
      <c r="I34" s="729">
        <f t="shared" ref="I34:I52" si="10">(H34/H33-1)*100</f>
        <v>8.2020755412737891</v>
      </c>
      <c r="J34" s="299"/>
      <c r="K34" s="299"/>
      <c r="L34" s="299"/>
      <c r="M34" s="300">
        <v>6641.4</v>
      </c>
      <c r="N34" s="295">
        <v>5616.1</v>
      </c>
      <c r="O34" s="296">
        <f t="shared" si="6"/>
        <v>117.79474379679931</v>
      </c>
      <c r="P34" s="301">
        <f t="shared" ref="P34:P42" si="11">O34/O33-1</f>
        <v>8.2016800246609067E-2</v>
      </c>
      <c r="Q34" s="295">
        <f t="shared" si="7"/>
        <v>5616.1</v>
      </c>
      <c r="R34" s="295">
        <f t="shared" si="8"/>
        <v>5616.1</v>
      </c>
      <c r="S34" s="298">
        <f t="shared" si="9"/>
        <v>5616.1</v>
      </c>
      <c r="T34" s="295"/>
      <c r="U34" s="295"/>
      <c r="V34" s="293">
        <v>1992</v>
      </c>
      <c r="W34" s="295"/>
      <c r="X34" s="730">
        <f t="shared" si="2"/>
        <v>8.2016800246609067E-2</v>
      </c>
      <c r="Y34" s="730"/>
      <c r="Z34" s="304"/>
    </row>
    <row r="35" spans="3:26">
      <c r="C35" s="726">
        <f t="shared" si="5"/>
        <v>1993</v>
      </c>
      <c r="D35" s="1321"/>
      <c r="E35" s="294">
        <v>8294.6</v>
      </c>
      <c r="F35" s="295">
        <v>8664.2000000000007</v>
      </c>
      <c r="G35" s="1116">
        <f t="shared" si="1"/>
        <v>95.734170494679248</v>
      </c>
      <c r="H35" s="1117">
        <f t="shared" si="0"/>
        <v>92.942577316269947</v>
      </c>
      <c r="I35" s="729">
        <f t="shared" si="10"/>
        <v>5.4552093476144092</v>
      </c>
      <c r="J35" s="299"/>
      <c r="K35" s="299"/>
      <c r="L35" s="299"/>
      <c r="M35" s="300">
        <v>7252.7</v>
      </c>
      <c r="N35" s="295">
        <v>5922.5</v>
      </c>
      <c r="O35" s="296">
        <f t="shared" si="6"/>
        <v>124.22132265033454</v>
      </c>
      <c r="P35" s="301">
        <f t="shared" si="11"/>
        <v>5.4557433094139851E-2</v>
      </c>
      <c r="Q35" s="295">
        <f t="shared" si="7"/>
        <v>5922.5</v>
      </c>
      <c r="R35" s="295">
        <f t="shared" si="8"/>
        <v>5922.5</v>
      </c>
      <c r="S35" s="298">
        <f t="shared" si="9"/>
        <v>5922.5</v>
      </c>
      <c r="T35" s="295"/>
      <c r="U35" s="295"/>
      <c r="V35" s="293">
        <v>1993</v>
      </c>
      <c r="W35" s="295"/>
      <c r="X35" s="730">
        <f t="shared" si="2"/>
        <v>5.4557433094140073E-2</v>
      </c>
      <c r="Y35" s="730"/>
      <c r="Z35" s="304"/>
    </row>
    <row r="36" spans="3:26">
      <c r="C36" s="726">
        <f t="shared" si="5"/>
        <v>1994</v>
      </c>
      <c r="D36" s="1321"/>
      <c r="E36" s="294">
        <v>8845</v>
      </c>
      <c r="F36" s="295">
        <v>8911.2000000000007</v>
      </c>
      <c r="G36" s="1116">
        <f>(E36/F36)*100</f>
        <v>99.257114642247942</v>
      </c>
      <c r="H36" s="1117">
        <f t="shared" si="0"/>
        <v>95.592194891708957</v>
      </c>
      <c r="I36" s="729">
        <f t="shared" si="10"/>
        <v>2.8508113847787397</v>
      </c>
      <c r="J36" s="299"/>
      <c r="K36" s="299"/>
      <c r="L36" s="299"/>
      <c r="M36" s="300">
        <v>7733.9</v>
      </c>
      <c r="N36" s="295">
        <v>6091.3</v>
      </c>
      <c r="O36" s="296">
        <f t="shared" si="6"/>
        <v>127.76181387251715</v>
      </c>
      <c r="P36" s="301">
        <f t="shared" si="11"/>
        <v>2.8501477416631449E-2</v>
      </c>
      <c r="Q36" s="295">
        <f t="shared" si="7"/>
        <v>6091.3</v>
      </c>
      <c r="R36" s="295">
        <f t="shared" si="8"/>
        <v>6091.3</v>
      </c>
      <c r="S36" s="298">
        <f t="shared" si="9"/>
        <v>6091.3</v>
      </c>
      <c r="T36" s="295"/>
      <c r="U36" s="295"/>
      <c r="V36" s="293">
        <v>1994</v>
      </c>
      <c r="W36" s="295"/>
      <c r="X36" s="730">
        <f t="shared" si="2"/>
        <v>2.8501477416631449E-2</v>
      </c>
      <c r="Y36" s="730"/>
      <c r="Z36" s="304"/>
    </row>
    <row r="37" spans="3:26">
      <c r="C37" s="726">
        <f t="shared" si="5"/>
        <v>1995</v>
      </c>
      <c r="D37" s="1321"/>
      <c r="E37" s="294">
        <v>9041.9</v>
      </c>
      <c r="F37" s="295">
        <v>9067.2999999999993</v>
      </c>
      <c r="G37" s="1116">
        <f t="shared" si="1"/>
        <v>99.719872508905624</v>
      </c>
      <c r="H37" s="1117">
        <f t="shared" si="0"/>
        <v>97.266710290599747</v>
      </c>
      <c r="I37" s="729">
        <f t="shared" si="10"/>
        <v>1.7517281623125713</v>
      </c>
      <c r="J37" s="299"/>
      <c r="K37" s="299"/>
      <c r="L37" s="299"/>
      <c r="M37" s="300">
        <v>7906.1</v>
      </c>
      <c r="N37" s="295">
        <v>6198</v>
      </c>
      <c r="O37" s="296">
        <f t="shared" si="6"/>
        <v>129.99979025525937</v>
      </c>
      <c r="P37" s="301">
        <f t="shared" si="11"/>
        <v>1.7516786236107418E-2</v>
      </c>
      <c r="Q37" s="295">
        <f t="shared" si="7"/>
        <v>6198</v>
      </c>
      <c r="R37" s="295">
        <f t="shared" si="8"/>
        <v>6198</v>
      </c>
      <c r="S37" s="298">
        <f t="shared" si="9"/>
        <v>6198</v>
      </c>
      <c r="T37" s="295"/>
      <c r="U37" s="295"/>
      <c r="V37" s="293">
        <v>1995</v>
      </c>
      <c r="W37" s="295"/>
      <c r="X37" s="730">
        <f t="shared" si="2"/>
        <v>1.7516786236107196E-2</v>
      </c>
      <c r="Y37" s="730"/>
      <c r="Z37" s="304"/>
    </row>
    <row r="38" spans="3:26">
      <c r="C38" s="288">
        <f t="shared" si="5"/>
        <v>1996</v>
      </c>
      <c r="D38" s="1321"/>
      <c r="E38" s="289">
        <v>9322.1</v>
      </c>
      <c r="F38" s="290">
        <v>9322.1</v>
      </c>
      <c r="G38" s="1116">
        <f>(E38/F38)*100</f>
        <v>100</v>
      </c>
      <c r="H38" s="1117">
        <f t="shared" si="0"/>
        <v>100</v>
      </c>
      <c r="I38" s="729">
        <f>(H38/H37-1)*100</f>
        <v>2.8100978240490626</v>
      </c>
      <c r="J38" s="299"/>
      <c r="K38" s="299"/>
      <c r="L38" s="299"/>
      <c r="M38" s="300">
        <v>8151.1</v>
      </c>
      <c r="N38" s="295">
        <v>6372.2000000000007</v>
      </c>
      <c r="O38" s="296">
        <f t="shared" si="6"/>
        <v>133.65354363739331</v>
      </c>
      <c r="P38" s="301">
        <f t="shared" si="11"/>
        <v>2.8105840593739995E-2</v>
      </c>
      <c r="Q38" s="295">
        <f t="shared" si="7"/>
        <v>6372.2000000000007</v>
      </c>
      <c r="R38" s="295">
        <f t="shared" si="8"/>
        <v>6372.2000000000007</v>
      </c>
      <c r="S38" s="298">
        <f t="shared" si="9"/>
        <v>6372.2000000000007</v>
      </c>
      <c r="T38" s="295"/>
      <c r="U38" s="295"/>
      <c r="V38" s="288">
        <v>1996</v>
      </c>
      <c r="W38" s="295"/>
      <c r="X38" s="730">
        <f t="shared" si="2"/>
        <v>2.8105840593739995E-2</v>
      </c>
      <c r="Y38" s="730"/>
      <c r="Z38" s="304"/>
    </row>
    <row r="39" spans="3:26">
      <c r="C39" s="726">
        <f t="shared" si="5"/>
        <v>1997</v>
      </c>
      <c r="D39" s="1321"/>
      <c r="E39" s="294">
        <v>10084</v>
      </c>
      <c r="F39" s="295">
        <v>9924.4</v>
      </c>
      <c r="G39" s="1116">
        <f t="shared" si="1"/>
        <v>101.60815767200033</v>
      </c>
      <c r="H39" s="1117">
        <f t="shared" si="0"/>
        <v>106.46099054933973</v>
      </c>
      <c r="I39" s="729">
        <f>(H39/H38-1)*100</f>
        <v>6.460990549339729</v>
      </c>
      <c r="J39" s="299"/>
      <c r="K39" s="299"/>
      <c r="L39" s="299"/>
      <c r="M39" s="300">
        <v>8657.5</v>
      </c>
      <c r="N39" s="295">
        <v>6657.5000000000009</v>
      </c>
      <c r="O39" s="296">
        <f>(N39/$N$24)*100</f>
        <v>139.63756108815573</v>
      </c>
      <c r="P39" s="301">
        <f>O39/O38-1</f>
        <v>4.477260600734434E-2</v>
      </c>
      <c r="Q39" s="295">
        <f t="shared" si="7"/>
        <v>6657.5000000000009</v>
      </c>
      <c r="R39" s="295">
        <f t="shared" si="8"/>
        <v>6657.5000000000009</v>
      </c>
      <c r="S39" s="298">
        <f t="shared" si="9"/>
        <v>6657.5000000000009</v>
      </c>
      <c r="T39" s="295"/>
      <c r="U39" s="295"/>
      <c r="V39" s="293">
        <v>1997</v>
      </c>
      <c r="W39" s="295"/>
      <c r="X39" s="730">
        <f t="shared" si="2"/>
        <v>4.477260600734434E-2</v>
      </c>
      <c r="Y39" s="730"/>
      <c r="Z39" s="304"/>
    </row>
    <row r="40" spans="3:26">
      <c r="C40" s="726">
        <f t="shared" si="5"/>
        <v>1998</v>
      </c>
      <c r="D40" s="1321"/>
      <c r="E40" s="294">
        <v>10932.5</v>
      </c>
      <c r="F40" s="295">
        <v>10635</v>
      </c>
      <c r="G40" s="1116">
        <f t="shared" si="1"/>
        <v>102.79736718382699</v>
      </c>
      <c r="H40" s="1117">
        <f t="shared" si="0"/>
        <v>114.0837364971412</v>
      </c>
      <c r="I40" s="729">
        <f t="shared" si="10"/>
        <v>7.1601305872395438</v>
      </c>
      <c r="J40" s="299"/>
      <c r="K40" s="299"/>
      <c r="L40" s="299"/>
      <c r="M40" s="300">
        <v>9344.7000000000007</v>
      </c>
      <c r="N40" s="295">
        <v>6947.1999999999989</v>
      </c>
      <c r="O40" s="296">
        <f>(N40/$N$24)*100</f>
        <v>145.71386622480441</v>
      </c>
      <c r="P40" s="301">
        <f t="shared" si="11"/>
        <v>4.3514832895230837E-2</v>
      </c>
      <c r="Q40" s="295">
        <f t="shared" si="7"/>
        <v>6947.1999999999989</v>
      </c>
      <c r="R40" s="295">
        <f t="shared" si="8"/>
        <v>6947.1999999999989</v>
      </c>
      <c r="S40" s="298">
        <f t="shared" si="9"/>
        <v>6947.1999999999989</v>
      </c>
      <c r="T40" s="295"/>
      <c r="U40" s="295"/>
      <c r="V40" s="293">
        <v>1998</v>
      </c>
      <c r="W40" s="295"/>
      <c r="X40" s="730">
        <f t="shared" si="2"/>
        <v>4.3514832895230615E-2</v>
      </c>
      <c r="Y40" s="730"/>
      <c r="Z40" s="304"/>
    </row>
    <row r="41" spans="3:26">
      <c r="C41" s="726">
        <f t="shared" si="5"/>
        <v>1999</v>
      </c>
      <c r="D41" s="1321"/>
      <c r="E41" s="294">
        <v>11456.3</v>
      </c>
      <c r="F41" s="295">
        <v>11070.3</v>
      </c>
      <c r="G41" s="1116">
        <f t="shared" si="1"/>
        <v>103.48680704226625</v>
      </c>
      <c r="H41" s="1117">
        <f t="shared" si="0"/>
        <v>118.75328520397763</v>
      </c>
      <c r="I41" s="729">
        <f t="shared" si="10"/>
        <v>4.0930888575458235</v>
      </c>
      <c r="J41" s="299"/>
      <c r="K41" s="299"/>
      <c r="L41" s="299"/>
      <c r="M41" s="300">
        <v>9636.6</v>
      </c>
      <c r="N41" s="295">
        <v>7169.9000000000005</v>
      </c>
      <c r="O41" s="296">
        <f t="shared" si="6"/>
        <v>150.38488159909392</v>
      </c>
      <c r="P41" s="301">
        <f t="shared" si="11"/>
        <v>3.2056080147397692E-2</v>
      </c>
      <c r="Q41" s="295">
        <f t="shared" si="7"/>
        <v>7169.9000000000005</v>
      </c>
      <c r="R41" s="295">
        <f t="shared" si="8"/>
        <v>7169.9000000000005</v>
      </c>
      <c r="S41" s="298">
        <f t="shared" si="9"/>
        <v>7169.9000000000005</v>
      </c>
      <c r="T41" s="295"/>
      <c r="U41" s="295"/>
      <c r="V41" s="293">
        <v>1999</v>
      </c>
      <c r="W41" s="295"/>
      <c r="X41" s="730">
        <f t="shared" si="2"/>
        <v>3.2056080147397692E-2</v>
      </c>
      <c r="Y41" s="730"/>
      <c r="Z41" s="304"/>
    </row>
    <row r="42" spans="3:26">
      <c r="C42" s="726">
        <f t="shared" si="5"/>
        <v>2000</v>
      </c>
      <c r="D42" s="1321"/>
      <c r="E42" s="294">
        <v>11620.5</v>
      </c>
      <c r="F42" s="295">
        <v>11370.9</v>
      </c>
      <c r="G42" s="1116">
        <f t="shared" si="1"/>
        <v>102.19507690684115</v>
      </c>
      <c r="H42" s="1117">
        <f t="shared" si="0"/>
        <v>121.97788052048357</v>
      </c>
      <c r="I42" s="729">
        <f t="shared" si="10"/>
        <v>2.7153735671120005</v>
      </c>
      <c r="J42" s="299"/>
      <c r="K42" s="299"/>
      <c r="L42" s="299"/>
      <c r="M42" s="300">
        <v>10019</v>
      </c>
      <c r="N42" s="295">
        <v>7345.7</v>
      </c>
      <c r="O42" s="296">
        <f t="shared" si="6"/>
        <v>154.07219413973195</v>
      </c>
      <c r="P42" s="301">
        <f t="shared" si="11"/>
        <v>2.4519170420786773E-2</v>
      </c>
      <c r="Q42" s="295">
        <f t="shared" si="7"/>
        <v>7345.7</v>
      </c>
      <c r="R42" s="295">
        <f t="shared" si="8"/>
        <v>7345.7</v>
      </c>
      <c r="S42" s="298">
        <f t="shared" si="9"/>
        <v>7345.7</v>
      </c>
      <c r="T42" s="295"/>
      <c r="U42" s="295"/>
      <c r="V42" s="293">
        <v>2000</v>
      </c>
      <c r="W42" s="295"/>
      <c r="X42" s="730">
        <f t="shared" si="2"/>
        <v>2.4519170420786773E-2</v>
      </c>
      <c r="Y42" s="730"/>
      <c r="Z42" s="304"/>
    </row>
    <row r="43" spans="3:26">
      <c r="C43" s="726">
        <f t="shared" si="5"/>
        <v>2001</v>
      </c>
      <c r="D43" s="1321"/>
      <c r="E43" s="294">
        <v>11807.5</v>
      </c>
      <c r="F43" s="295">
        <v>11436.2</v>
      </c>
      <c r="G43" s="1116">
        <f t="shared" si="1"/>
        <v>103.24670782252845</v>
      </c>
      <c r="H43" s="1117">
        <f t="shared" si="0"/>
        <v>122.67836646249235</v>
      </c>
      <c r="I43" s="729">
        <f t="shared" si="10"/>
        <v>0.57427292474649949</v>
      </c>
      <c r="J43" s="299"/>
      <c r="K43" s="299"/>
      <c r="L43" s="299"/>
      <c r="M43" s="294"/>
      <c r="N43" s="295">
        <f>N42*(F43/F42)</f>
        <v>7387.8843662331046</v>
      </c>
      <c r="O43" s="296"/>
      <c r="P43" s="301"/>
      <c r="Q43" s="295">
        <f>N43</f>
        <v>7387.8843662331046</v>
      </c>
      <c r="R43" s="295">
        <f>N43</f>
        <v>7387.8843662331046</v>
      </c>
      <c r="S43" s="298">
        <f>N43</f>
        <v>7387.8843662331046</v>
      </c>
      <c r="T43" s="295"/>
      <c r="U43" s="295"/>
      <c r="V43" s="293">
        <v>2001</v>
      </c>
      <c r="W43" s="295"/>
      <c r="X43" s="730">
        <f t="shared" si="2"/>
        <v>5.742729247465217E-3</v>
      </c>
      <c r="Y43" s="730"/>
      <c r="Z43" s="304"/>
    </row>
    <row r="44" spans="3:26">
      <c r="C44" s="726">
        <f t="shared" si="5"/>
        <v>2002</v>
      </c>
      <c r="D44" s="1321"/>
      <c r="E44" s="294">
        <v>12272.4</v>
      </c>
      <c r="F44" s="295">
        <v>11691.1</v>
      </c>
      <c r="G44" s="1116">
        <f>(E44/F44)*100</f>
        <v>104.97215830845686</v>
      </c>
      <c r="H44" s="1117">
        <f t="shared" si="0"/>
        <v>125.41272889155877</v>
      </c>
      <c r="I44" s="729">
        <f t="shared" si="10"/>
        <v>2.2288872177821384</v>
      </c>
      <c r="J44" s="299"/>
      <c r="K44" s="299"/>
      <c r="L44" s="299"/>
      <c r="M44" s="294"/>
      <c r="N44" s="295">
        <f t="shared" ref="N44:N52" si="12">N43*(F44/F43)</f>
        <v>7552.551976536598</v>
      </c>
      <c r="O44" s="443"/>
      <c r="P44" s="301"/>
      <c r="Q44" s="295">
        <f t="shared" ref="Q44:Q52" si="13">N44</f>
        <v>7552.551976536598</v>
      </c>
      <c r="R44" s="295">
        <f t="shared" ref="R44:R52" si="14">N44</f>
        <v>7552.551976536598</v>
      </c>
      <c r="S44" s="298">
        <f t="shared" ref="S44:S52" si="15">N44</f>
        <v>7552.551976536598</v>
      </c>
      <c r="T44" s="295"/>
      <c r="U44" s="295"/>
      <c r="V44" s="293">
        <v>2002</v>
      </c>
      <c r="W44" s="295"/>
      <c r="X44" s="730">
        <f t="shared" si="2"/>
        <v>2.2288872177821162E-2</v>
      </c>
      <c r="Y44" s="730"/>
      <c r="Z44" s="304"/>
    </row>
    <row r="45" spans="3:26">
      <c r="C45" s="726">
        <f t="shared" si="5"/>
        <v>2003</v>
      </c>
      <c r="D45" s="1321"/>
      <c r="E45" s="294">
        <v>12933.2</v>
      </c>
      <c r="F45" s="295">
        <v>12182.8</v>
      </c>
      <c r="G45" s="1116">
        <f t="shared" si="1"/>
        <v>106.15950356239946</v>
      </c>
      <c r="H45" s="1117">
        <f t="shared" si="0"/>
        <v>130.68729149011486</v>
      </c>
      <c r="I45" s="729">
        <f t="shared" si="10"/>
        <v>4.2057633584521303</v>
      </c>
      <c r="J45" s="299"/>
      <c r="K45" s="299"/>
      <c r="L45" s="299"/>
      <c r="M45" s="294"/>
      <c r="N45" s="295">
        <f t="shared" si="12"/>
        <v>7870.1944401938281</v>
      </c>
      <c r="O45" s="443"/>
      <c r="P45" s="302"/>
      <c r="Q45" s="295">
        <f t="shared" si="13"/>
        <v>7870.1944401938281</v>
      </c>
      <c r="R45" s="295">
        <f t="shared" si="14"/>
        <v>7870.1944401938281</v>
      </c>
      <c r="S45" s="298">
        <f t="shared" si="15"/>
        <v>7870.1944401938281</v>
      </c>
      <c r="T45" s="295"/>
      <c r="U45" s="295"/>
      <c r="V45" s="293">
        <v>2003</v>
      </c>
      <c r="W45" s="295"/>
      <c r="X45" s="730">
        <f t="shared" si="2"/>
        <v>4.2057633584521525E-2</v>
      </c>
      <c r="Y45" s="730"/>
      <c r="Z45" s="304"/>
    </row>
    <row r="46" spans="3:26">
      <c r="C46" s="726">
        <f t="shared" si="5"/>
        <v>2004</v>
      </c>
      <c r="D46" s="1321"/>
      <c r="E46" s="294">
        <v>14179.3</v>
      </c>
      <c r="F46" s="295">
        <v>13099.2</v>
      </c>
      <c r="G46" s="1116">
        <f t="shared" si="1"/>
        <v>108.24554171247098</v>
      </c>
      <c r="H46" s="1117">
        <f t="shared" si="0"/>
        <v>140.51769451089348</v>
      </c>
      <c r="I46" s="729">
        <f t="shared" si="10"/>
        <v>7.5220803099451894</v>
      </c>
      <c r="J46" s="299"/>
      <c r="K46" s="299"/>
      <c r="L46" s="299"/>
      <c r="M46" s="294"/>
      <c r="N46" s="295">
        <f t="shared" si="12"/>
        <v>8462.1967865340484</v>
      </c>
      <c r="O46" s="443"/>
      <c r="P46" s="302"/>
      <c r="Q46" s="295">
        <f t="shared" si="13"/>
        <v>8462.1967865340484</v>
      </c>
      <c r="R46" s="295">
        <f t="shared" si="14"/>
        <v>8462.1967865340484</v>
      </c>
      <c r="S46" s="298">
        <f t="shared" si="15"/>
        <v>8462.1967865340484</v>
      </c>
      <c r="T46" s="295"/>
      <c r="U46" s="295"/>
      <c r="V46" s="293">
        <v>2004</v>
      </c>
      <c r="W46" s="295"/>
      <c r="X46" s="730">
        <f t="shared" si="2"/>
        <v>7.5220803099451894E-2</v>
      </c>
      <c r="Y46" s="730"/>
      <c r="Z46" s="304"/>
    </row>
    <row r="47" spans="3:26">
      <c r="C47" s="726">
        <f t="shared" si="5"/>
        <v>2005</v>
      </c>
      <c r="D47" s="1321"/>
      <c r="E47" s="294">
        <v>15464.7</v>
      </c>
      <c r="F47" s="295">
        <v>14041.2</v>
      </c>
      <c r="G47" s="1116">
        <f t="shared" si="1"/>
        <v>110.13802239124861</v>
      </c>
      <c r="H47" s="1117">
        <f t="shared" si="0"/>
        <v>150.62271376621149</v>
      </c>
      <c r="I47" s="729">
        <f t="shared" si="10"/>
        <v>7.1912788567240815</v>
      </c>
      <c r="J47" s="299"/>
      <c r="K47" s="299"/>
      <c r="L47" s="299"/>
      <c r="M47" s="294"/>
      <c r="N47" s="295">
        <f t="shared" si="12"/>
        <v>9070.7369548584556</v>
      </c>
      <c r="O47" s="443"/>
      <c r="P47" s="302"/>
      <c r="Q47" s="295">
        <f t="shared" si="13"/>
        <v>9070.7369548584556</v>
      </c>
      <c r="R47" s="295">
        <f t="shared" si="14"/>
        <v>9070.7369548584556</v>
      </c>
      <c r="S47" s="298">
        <f t="shared" si="15"/>
        <v>9070.7369548584556</v>
      </c>
      <c r="T47" s="295"/>
      <c r="U47" s="295"/>
      <c r="V47" s="293">
        <v>2005</v>
      </c>
      <c r="W47" s="295"/>
      <c r="X47" s="730">
        <f t="shared" si="2"/>
        <v>7.1912788567240815E-2</v>
      </c>
      <c r="Y47" s="730"/>
      <c r="Z47" s="304"/>
    </row>
    <row r="48" spans="3:26">
      <c r="C48" s="726">
        <f t="shared" si="5"/>
        <v>2006</v>
      </c>
      <c r="D48" s="1321"/>
      <c r="E48" s="294">
        <v>17137</v>
      </c>
      <c r="F48" s="295">
        <v>15238.6</v>
      </c>
      <c r="G48" s="1116">
        <f t="shared" si="1"/>
        <v>112.4578373341383</v>
      </c>
      <c r="H48" s="1117">
        <f t="shared" si="0"/>
        <v>163.46745904892674</v>
      </c>
      <c r="I48" s="729">
        <f t="shared" si="10"/>
        <v>8.527761160014812</v>
      </c>
      <c r="J48" s="299"/>
      <c r="K48" s="299"/>
      <c r="L48" s="299"/>
      <c r="M48" s="294"/>
      <c r="N48" s="295">
        <f t="shared" si="12"/>
        <v>9844.2677378219851</v>
      </c>
      <c r="O48" s="443"/>
      <c r="P48" s="302"/>
      <c r="Q48" s="295">
        <f t="shared" si="13"/>
        <v>9844.2677378219851</v>
      </c>
      <c r="R48" s="295">
        <f t="shared" si="14"/>
        <v>9844.2677378219851</v>
      </c>
      <c r="S48" s="298">
        <f t="shared" si="15"/>
        <v>9844.2677378219851</v>
      </c>
      <c r="T48" s="295"/>
      <c r="U48" s="295"/>
      <c r="V48" s="293">
        <v>2006</v>
      </c>
      <c r="W48" s="295"/>
      <c r="X48" s="730">
        <f t="shared" si="2"/>
        <v>8.5277611600148129E-2</v>
      </c>
      <c r="Y48" s="730"/>
      <c r="Z48" s="304"/>
    </row>
    <row r="49" spans="3:30">
      <c r="C49" s="726">
        <f t="shared" si="5"/>
        <v>2007</v>
      </c>
      <c r="D49" s="1321"/>
      <c r="E49" s="294">
        <v>19793.7</v>
      </c>
      <c r="F49" s="295">
        <v>17084.5</v>
      </c>
      <c r="G49" s="1116">
        <f t="shared" si="1"/>
        <v>115.85764874593931</v>
      </c>
      <c r="H49" s="1117">
        <f t="shared" si="0"/>
        <v>183.26879136675211</v>
      </c>
      <c r="I49" s="729">
        <f t="shared" si="10"/>
        <v>12.113317496357933</v>
      </c>
      <c r="J49" s="299"/>
      <c r="K49" s="299"/>
      <c r="L49" s="299"/>
      <c r="M49" s="294"/>
      <c r="N49" s="295">
        <f t="shared" si="12"/>
        <v>11036.735144095896</v>
      </c>
      <c r="O49" s="443"/>
      <c r="P49" s="302"/>
      <c r="Q49" s="295">
        <f t="shared" si="13"/>
        <v>11036.735144095896</v>
      </c>
      <c r="R49" s="295">
        <f t="shared" si="14"/>
        <v>11036.735144095896</v>
      </c>
      <c r="S49" s="298">
        <f t="shared" si="15"/>
        <v>11036.735144095896</v>
      </c>
      <c r="T49" s="295"/>
      <c r="U49" s="295"/>
      <c r="V49" s="293">
        <v>2007</v>
      </c>
      <c r="W49" s="295"/>
      <c r="X49" s="730">
        <f t="shared" si="2"/>
        <v>0.12113317496357934</v>
      </c>
      <c r="Y49" s="730"/>
      <c r="Z49" s="304"/>
    </row>
    <row r="50" spans="3:30">
      <c r="C50" s="726">
        <f t="shared" si="5"/>
        <v>2008</v>
      </c>
      <c r="D50" s="1321"/>
      <c r="E50" s="294">
        <v>23001.599999999999</v>
      </c>
      <c r="F50" s="295">
        <v>18812.900000000001</v>
      </c>
      <c r="G50" s="1116">
        <f t="shared" si="1"/>
        <v>122.26504154064497</v>
      </c>
      <c r="H50" s="1117">
        <f t="shared" si="0"/>
        <v>201.80967807682819</v>
      </c>
      <c r="I50" s="729">
        <f t="shared" si="10"/>
        <v>10.116772513096684</v>
      </c>
      <c r="J50" s="299"/>
      <c r="K50" s="299"/>
      <c r="L50" s="299"/>
      <c r="M50" s="294"/>
      <c r="N50" s="295">
        <f t="shared" si="12"/>
        <v>12153.296531497072</v>
      </c>
      <c r="O50" s="443"/>
      <c r="P50" s="302"/>
      <c r="Q50" s="295">
        <f t="shared" si="13"/>
        <v>12153.296531497072</v>
      </c>
      <c r="R50" s="295">
        <f t="shared" si="14"/>
        <v>12153.296531497072</v>
      </c>
      <c r="S50" s="298">
        <f t="shared" si="15"/>
        <v>12153.296531497072</v>
      </c>
      <c r="T50" s="295"/>
      <c r="U50" s="295"/>
      <c r="V50" s="293">
        <v>2008</v>
      </c>
      <c r="W50" s="295"/>
      <c r="X50" s="730">
        <f t="shared" si="2"/>
        <v>0.10116772513096683</v>
      </c>
      <c r="Y50" s="730"/>
      <c r="Z50" s="304"/>
    </row>
    <row r="51" spans="3:30">
      <c r="C51" s="726">
        <f t="shared" si="5"/>
        <v>2009</v>
      </c>
      <c r="D51" s="1321"/>
      <c r="E51" s="294">
        <v>24162.9</v>
      </c>
      <c r="F51" s="295">
        <v>19538.400000000001</v>
      </c>
      <c r="G51" s="1116">
        <f t="shared" si="1"/>
        <v>123.66877533472547</v>
      </c>
      <c r="H51" s="1117">
        <f t="shared" si="0"/>
        <v>209.59225925488894</v>
      </c>
      <c r="I51" s="729">
        <f t="shared" si="10"/>
        <v>3.8563964088471181</v>
      </c>
      <c r="J51" s="299"/>
      <c r="K51" s="299"/>
      <c r="L51" s="299"/>
      <c r="M51" s="294"/>
      <c r="N51" s="295">
        <f t="shared" si="12"/>
        <v>12621.975822494265</v>
      </c>
      <c r="O51" s="443"/>
      <c r="P51" s="302"/>
      <c r="Q51" s="295">
        <f t="shared" si="13"/>
        <v>12621.975822494265</v>
      </c>
      <c r="R51" s="295">
        <f t="shared" si="14"/>
        <v>12621.975822494265</v>
      </c>
      <c r="S51" s="298">
        <f t="shared" si="15"/>
        <v>12621.975822494265</v>
      </c>
      <c r="T51" s="295"/>
      <c r="U51" s="295"/>
      <c r="V51" s="293">
        <v>2009</v>
      </c>
      <c r="W51" s="295"/>
      <c r="X51" s="730">
        <f t="shared" si="2"/>
        <v>3.8563964088471181E-2</v>
      </c>
      <c r="Y51" s="730"/>
      <c r="Z51" s="304"/>
    </row>
    <row r="52" spans="3:30">
      <c r="C52" s="726">
        <f t="shared" si="5"/>
        <v>2010</v>
      </c>
      <c r="E52" s="294">
        <v>27053</v>
      </c>
      <c r="F52" s="295">
        <v>20944.400000000001</v>
      </c>
      <c r="G52" s="1116">
        <f t="shared" si="1"/>
        <v>129.16579133324419</v>
      </c>
      <c r="H52" s="1117">
        <f t="shared" si="0"/>
        <v>224.67469776123409</v>
      </c>
      <c r="I52" s="729">
        <f t="shared" si="10"/>
        <v>7.196085656962703</v>
      </c>
      <c r="J52" s="299"/>
      <c r="K52" s="295"/>
      <c r="L52" s="295"/>
      <c r="M52" s="294"/>
      <c r="N52" s="295">
        <f t="shared" si="12"/>
        <v>13530.264014282075</v>
      </c>
      <c r="O52" s="443"/>
      <c r="P52" s="302"/>
      <c r="Q52" s="295">
        <f t="shared" si="13"/>
        <v>13530.264014282075</v>
      </c>
      <c r="R52" s="295">
        <f t="shared" si="14"/>
        <v>13530.264014282075</v>
      </c>
      <c r="S52" s="298">
        <f t="shared" si="15"/>
        <v>13530.264014282075</v>
      </c>
      <c r="T52" s="295"/>
      <c r="U52" s="295"/>
      <c r="V52" s="293">
        <v>2010</v>
      </c>
      <c r="W52" s="295"/>
      <c r="X52" s="730">
        <f t="shared" si="2"/>
        <v>7.196085656962703E-2</v>
      </c>
      <c r="Y52" s="730"/>
      <c r="Z52" s="304"/>
      <c r="AC52" s="263">
        <f>(Q52/Q51)-1</f>
        <v>7.196085656962703E-2</v>
      </c>
    </row>
    <row r="53" spans="3:30">
      <c r="C53" s="1118">
        <f t="shared" si="5"/>
        <v>2011</v>
      </c>
      <c r="D53" s="1119" t="s">
        <v>260</v>
      </c>
      <c r="E53" s="294">
        <v>31315.8</v>
      </c>
      <c r="F53" s="295">
        <v>23272.1</v>
      </c>
      <c r="G53" s="1116">
        <f t="shared" si="1"/>
        <v>134.56370503736235</v>
      </c>
      <c r="H53" s="1120">
        <f t="shared" si="0"/>
        <v>249.64439343066473</v>
      </c>
      <c r="I53" s="301">
        <f>F53/F52-1</f>
        <v>0.11113710586123249</v>
      </c>
      <c r="J53" s="295">
        <f>F53</f>
        <v>23272.1</v>
      </c>
      <c r="K53" s="295">
        <f>F53</f>
        <v>23272.1</v>
      </c>
      <c r="L53" s="296">
        <f>F53</f>
        <v>23272.1</v>
      </c>
      <c r="M53" s="294"/>
      <c r="N53" s="295"/>
      <c r="O53" s="443"/>
      <c r="P53" s="302"/>
      <c r="Q53" s="294">
        <f>N52*(J53/F52)</f>
        <v>15033.978398367766</v>
      </c>
      <c r="R53" s="295">
        <f>N52*K53/F52</f>
        <v>15033.978398367766</v>
      </c>
      <c r="S53" s="298">
        <f>N52*L53/F52</f>
        <v>15033.978398367766</v>
      </c>
      <c r="T53" s="295"/>
      <c r="U53" s="295"/>
      <c r="V53" s="731">
        <v>2011</v>
      </c>
      <c r="W53" s="732"/>
      <c r="X53" s="733">
        <f>(Q53/Q52-1)</f>
        <v>0.11113710586123249</v>
      </c>
      <c r="Y53" s="733">
        <f>R53/R52-1</f>
        <v>0.11113710586123249</v>
      </c>
      <c r="Z53" s="734">
        <f>S53/S52-1</f>
        <v>0.11113710586123249</v>
      </c>
      <c r="AD53" s="238">
        <f>Q52*(1+I53)</f>
        <v>15033.978398367766</v>
      </c>
    </row>
    <row r="54" spans="3:30" ht="12.75" customHeight="1">
      <c r="C54" s="731">
        <f t="shared" si="5"/>
        <v>2012</v>
      </c>
      <c r="D54" s="1121" t="s">
        <v>173</v>
      </c>
      <c r="E54" s="1122"/>
      <c r="F54" s="732"/>
      <c r="G54" s="732"/>
      <c r="H54" s="1123"/>
      <c r="I54" s="1124"/>
      <c r="J54" s="732">
        <f>'[4]Estimacion PIB 2013-2027'!L21</f>
        <v>25752.182326359442</v>
      </c>
      <c r="K54" s="732">
        <f>'[4]Estimacion PIB 2013-2027'!N21</f>
        <v>25752.182326359442</v>
      </c>
      <c r="L54" s="1123">
        <f>'[4]Estimacion PIB 2013-2027'!P21</f>
        <v>25752.182326359442</v>
      </c>
      <c r="M54" s="1122"/>
      <c r="N54" s="732"/>
      <c r="O54" s="1125"/>
      <c r="P54" s="1126"/>
      <c r="Q54" s="1122"/>
      <c r="R54" s="732"/>
      <c r="S54" s="1127"/>
      <c r="T54" s="295"/>
      <c r="U54" s="295"/>
      <c r="V54" s="726">
        <v>2012</v>
      </c>
      <c r="W54" s="295"/>
      <c r="X54" s="303">
        <f>(Q54/Q53)-1</f>
        <v>-1</v>
      </c>
      <c r="Y54" s="303">
        <f t="shared" ref="X54:Z67" si="16">R54/R53-1</f>
        <v>-1</v>
      </c>
      <c r="Z54" s="304">
        <f>(S54/S53)-1</f>
        <v>-1</v>
      </c>
    </row>
    <row r="55" spans="3:30" ht="12.75" customHeight="1">
      <c r="C55" s="293">
        <f t="shared" si="5"/>
        <v>2013</v>
      </c>
      <c r="D55" s="1321" t="s">
        <v>226</v>
      </c>
      <c r="E55" s="294"/>
      <c r="F55" s="295"/>
      <c r="G55" s="295"/>
      <c r="H55" s="296"/>
      <c r="I55" s="301"/>
      <c r="J55" s="295">
        <f>'[4]Estimacion PIB 2013-2027'!L22</f>
        <v>27734.651600513702</v>
      </c>
      <c r="K55" s="295">
        <f>'[4]Estimacion PIB 2013-2027'!N22</f>
        <v>28521.627822336774</v>
      </c>
      <c r="L55" s="296">
        <f>'[4]Estimacion PIB 2013-2027'!P22</f>
        <v>26728.840462112963</v>
      </c>
      <c r="M55" s="294"/>
      <c r="N55" s="295"/>
      <c r="O55" s="443"/>
      <c r="P55" s="302"/>
      <c r="Q55" s="294"/>
      <c r="R55" s="295"/>
      <c r="S55" s="298"/>
      <c r="T55" s="295"/>
      <c r="U55" s="295"/>
      <c r="V55" s="726">
        <v>2013</v>
      </c>
      <c r="W55" s="295"/>
      <c r="X55" s="303" t="e">
        <f t="shared" si="16"/>
        <v>#DIV/0!</v>
      </c>
      <c r="Y55" s="303" t="e">
        <f t="shared" si="16"/>
        <v>#DIV/0!</v>
      </c>
      <c r="Z55" s="304" t="e">
        <f t="shared" si="16"/>
        <v>#DIV/0!</v>
      </c>
      <c r="AC55" s="735">
        <f>(Q53/Q52)-1</f>
        <v>0.11113710586123249</v>
      </c>
    </row>
    <row r="56" spans="3:30">
      <c r="C56" s="293">
        <f t="shared" si="5"/>
        <v>2014</v>
      </c>
      <c r="D56" s="1321"/>
      <c r="E56" s="294"/>
      <c r="F56" s="295"/>
      <c r="G56" s="295"/>
      <c r="H56" s="296"/>
      <c r="I56" s="301"/>
      <c r="J56" s="295">
        <f>'[4]Estimacion PIB 2013-2027'!L23</f>
        <v>29395.957231384473</v>
      </c>
      <c r="K56" s="295">
        <f>'[4]Estimacion PIB 2013-2027'!N23</f>
        <v>30660.749909012029</v>
      </c>
      <c r="L56" s="296">
        <f>'[4]Estimacion PIB 2013-2027'!P23</f>
        <v>27797.994080597484</v>
      </c>
      <c r="M56" s="294"/>
      <c r="N56" s="295"/>
      <c r="O56" s="443"/>
      <c r="P56" s="302"/>
      <c r="Q56" s="294"/>
      <c r="R56" s="295"/>
      <c r="S56" s="298"/>
      <c r="T56" s="295"/>
      <c r="U56" s="295"/>
      <c r="V56" s="726">
        <v>2014</v>
      </c>
      <c r="W56" s="295"/>
      <c r="X56" s="303" t="e">
        <f t="shared" si="16"/>
        <v>#DIV/0!</v>
      </c>
      <c r="Y56" s="303" t="e">
        <f t="shared" si="16"/>
        <v>#DIV/0!</v>
      </c>
      <c r="Z56" s="304" t="e">
        <f t="shared" si="16"/>
        <v>#DIV/0!</v>
      </c>
    </row>
    <row r="57" spans="3:30">
      <c r="C57" s="293">
        <f t="shared" si="5"/>
        <v>2015</v>
      </c>
      <c r="D57" s="1321"/>
      <c r="E57" s="294"/>
      <c r="F57" s="295"/>
      <c r="G57" s="295"/>
      <c r="H57" s="296"/>
      <c r="I57" s="301"/>
      <c r="J57" s="295">
        <f>'[4]Estimacion PIB 2013-2027'!L24</f>
        <v>31119.295224074387</v>
      </c>
      <c r="K57" s="295">
        <f>'[4]Estimacion PIB 2013-2027'!N24</f>
        <v>32960.306152187928</v>
      </c>
      <c r="L57" s="296">
        <f>'[4]Estimacion PIB 2013-2027'!P24</f>
        <v>28909.913843821385</v>
      </c>
      <c r="M57" s="294"/>
      <c r="N57" s="295"/>
      <c r="O57" s="443"/>
      <c r="P57" s="302"/>
      <c r="Q57" s="294"/>
      <c r="R57" s="295"/>
      <c r="S57" s="298"/>
      <c r="T57" s="295"/>
      <c r="U57" s="295"/>
      <c r="V57" s="726">
        <v>2015</v>
      </c>
      <c r="W57" s="295"/>
      <c r="X57" s="303" t="e">
        <f t="shared" si="16"/>
        <v>#DIV/0!</v>
      </c>
      <c r="Y57" s="303" t="e">
        <f t="shared" si="16"/>
        <v>#DIV/0!</v>
      </c>
      <c r="Z57" s="304" t="e">
        <f t="shared" si="16"/>
        <v>#DIV/0!</v>
      </c>
    </row>
    <row r="58" spans="3:30">
      <c r="C58" s="293">
        <f t="shared" si="5"/>
        <v>2016</v>
      </c>
      <c r="D58" s="1321"/>
      <c r="E58" s="294"/>
      <c r="F58" s="295"/>
      <c r="G58" s="295"/>
      <c r="H58" s="296"/>
      <c r="I58" s="301"/>
      <c r="J58" s="295">
        <f>'[4]Estimacion PIB 2013-2027'!L25</f>
        <v>33017.572232742925</v>
      </c>
      <c r="K58" s="295">
        <f>'[4]Estimacion PIB 2013-2027'!N25</f>
        <v>35432.32911360202</v>
      </c>
      <c r="L58" s="296">
        <f>'[4]Estimacion PIB 2013-2027'!P25</f>
        <v>30066.310397574242</v>
      </c>
      <c r="M58" s="294"/>
      <c r="N58" s="295"/>
      <c r="O58" s="443"/>
      <c r="P58" s="302"/>
      <c r="Q58" s="294"/>
      <c r="R58" s="295"/>
      <c r="S58" s="298"/>
      <c r="T58" s="295"/>
      <c r="U58" s="295"/>
      <c r="V58" s="726">
        <v>2016</v>
      </c>
      <c r="W58" s="295"/>
      <c r="X58" s="303" t="e">
        <f t="shared" si="16"/>
        <v>#DIV/0!</v>
      </c>
      <c r="Y58" s="303" t="e">
        <f t="shared" si="16"/>
        <v>#DIV/0!</v>
      </c>
      <c r="Z58" s="304" t="e">
        <f t="shared" si="16"/>
        <v>#DIV/0!</v>
      </c>
    </row>
    <row r="59" spans="3:30">
      <c r="C59" s="293">
        <f t="shared" si="5"/>
        <v>2017</v>
      </c>
      <c r="D59" s="1321"/>
      <c r="E59" s="294"/>
      <c r="F59" s="295"/>
      <c r="G59" s="295"/>
      <c r="H59" s="296"/>
      <c r="I59" s="301"/>
      <c r="J59" s="295">
        <f>'[4]Estimacion PIB 2013-2027'!L26</f>
        <v>34668.450844380073</v>
      </c>
      <c r="K59" s="295">
        <f>'[4]Estimacion PIB 2013-2027'!N26</f>
        <v>37735.430505986151</v>
      </c>
      <c r="L59" s="296">
        <f>'[4]Estimacion PIB 2013-2027'!P26</f>
        <v>31193.797037483277</v>
      </c>
      <c r="M59" s="294"/>
      <c r="N59" s="295"/>
      <c r="O59" s="443"/>
      <c r="P59" s="302"/>
      <c r="Q59" s="294"/>
      <c r="R59" s="295"/>
      <c r="S59" s="298"/>
      <c r="T59" s="295"/>
      <c r="U59" s="295"/>
      <c r="V59" s="726">
        <v>2017</v>
      </c>
      <c r="W59" s="295"/>
      <c r="X59" s="303" t="e">
        <f t="shared" si="16"/>
        <v>#DIV/0!</v>
      </c>
      <c r="Y59" s="303" t="e">
        <f t="shared" si="16"/>
        <v>#DIV/0!</v>
      </c>
      <c r="Z59" s="304" t="e">
        <f t="shared" si="16"/>
        <v>#DIV/0!</v>
      </c>
    </row>
    <row r="60" spans="3:30">
      <c r="C60" s="293">
        <f t="shared" si="5"/>
        <v>2018</v>
      </c>
      <c r="D60" s="1321"/>
      <c r="E60" s="294"/>
      <c r="F60" s="295"/>
      <c r="G60" s="295"/>
      <c r="H60" s="296"/>
      <c r="I60" s="301"/>
      <c r="J60" s="295">
        <f>'[4]Estimacion PIB 2013-2027'!L27</f>
        <v>36401.87338659908</v>
      </c>
      <c r="K60" s="295">
        <f>'[4]Estimacion PIB 2013-2027'!N27</f>
        <v>40188.233488875252</v>
      </c>
      <c r="L60" s="296">
        <f>'[4]Estimacion PIB 2013-2027'!P27</f>
        <v>32363.564426388901</v>
      </c>
      <c r="M60" s="294"/>
      <c r="N60" s="295"/>
      <c r="O60" s="443"/>
      <c r="P60" s="302"/>
      <c r="Q60" s="294"/>
      <c r="R60" s="295"/>
      <c r="S60" s="298"/>
      <c r="T60" s="295"/>
      <c r="U60" s="295"/>
      <c r="V60" s="726">
        <v>2018</v>
      </c>
      <c r="W60" s="295"/>
      <c r="X60" s="303" t="e">
        <f t="shared" si="16"/>
        <v>#DIV/0!</v>
      </c>
      <c r="Y60" s="303" t="e">
        <f t="shared" si="16"/>
        <v>#DIV/0!</v>
      </c>
      <c r="Z60" s="304" t="e">
        <f t="shared" si="16"/>
        <v>#DIV/0!</v>
      </c>
    </row>
    <row r="61" spans="3:30">
      <c r="C61" s="293">
        <f t="shared" si="5"/>
        <v>2019</v>
      </c>
      <c r="D61" s="1321"/>
      <c r="E61" s="294"/>
      <c r="F61" s="295"/>
      <c r="G61" s="295"/>
      <c r="H61" s="296"/>
      <c r="I61" s="301"/>
      <c r="J61" s="295">
        <f>'[4]Estimacion PIB 2013-2027'!L28</f>
        <v>38221.967055929039</v>
      </c>
      <c r="K61" s="295">
        <f>'[4]Estimacion PIB 2013-2027'!N28</f>
        <v>42800.468665652144</v>
      </c>
      <c r="L61" s="296">
        <f>'[4]Estimacion PIB 2013-2027'!P28</f>
        <v>33577.198092378487</v>
      </c>
      <c r="M61" s="294"/>
      <c r="N61" s="295"/>
      <c r="O61" s="443"/>
      <c r="P61" s="302"/>
      <c r="Q61" s="294"/>
      <c r="R61" s="295"/>
      <c r="S61" s="298"/>
      <c r="T61" s="295"/>
      <c r="U61" s="295"/>
      <c r="V61" s="726">
        <v>2019</v>
      </c>
      <c r="W61" s="295"/>
      <c r="X61" s="303" t="e">
        <f t="shared" si="16"/>
        <v>#DIV/0!</v>
      </c>
      <c r="Y61" s="303" t="e">
        <f t="shared" si="16"/>
        <v>#DIV/0!</v>
      </c>
      <c r="Z61" s="304" t="e">
        <f t="shared" si="16"/>
        <v>#DIV/0!</v>
      </c>
    </row>
    <row r="62" spans="3:30">
      <c r="C62" s="293">
        <f t="shared" si="5"/>
        <v>2020</v>
      </c>
      <c r="D62" s="1321"/>
      <c r="E62" s="294"/>
      <c r="F62" s="295"/>
      <c r="G62" s="295"/>
      <c r="H62" s="296"/>
      <c r="I62" s="301"/>
      <c r="J62" s="295">
        <f>'[4]Estimacion PIB 2013-2027'!L29</f>
        <v>40133.065408725495</v>
      </c>
      <c r="K62" s="295">
        <f>'[4]Estimacion PIB 2013-2027'!N29</f>
        <v>45582.499128919531</v>
      </c>
      <c r="L62" s="296">
        <f>'[4]Estimacion PIB 2013-2027'!P29</f>
        <v>34836.34302084268</v>
      </c>
      <c r="M62" s="294"/>
      <c r="N62" s="295"/>
      <c r="O62" s="443"/>
      <c r="P62" s="302"/>
      <c r="Q62" s="294"/>
      <c r="R62" s="295"/>
      <c r="S62" s="298"/>
      <c r="T62" s="295"/>
      <c r="U62" s="295"/>
      <c r="V62" s="726">
        <v>2020</v>
      </c>
      <c r="W62" s="295"/>
      <c r="X62" s="303" t="e">
        <f t="shared" si="16"/>
        <v>#DIV/0!</v>
      </c>
      <c r="Y62" s="303" t="e">
        <f t="shared" si="16"/>
        <v>#DIV/0!</v>
      </c>
      <c r="Z62" s="304" t="e">
        <f t="shared" si="16"/>
        <v>#DIV/0!</v>
      </c>
    </row>
    <row r="63" spans="3:30">
      <c r="C63" s="293">
        <f t="shared" si="5"/>
        <v>2021</v>
      </c>
      <c r="D63" s="1321"/>
      <c r="E63" s="294"/>
      <c r="F63" s="295"/>
      <c r="G63" s="295"/>
      <c r="H63" s="296"/>
      <c r="I63" s="301"/>
      <c r="J63" s="295">
        <f>'[4]Estimacion PIB 2013-2027'!L30</f>
        <v>42139.718679161771</v>
      </c>
      <c r="K63" s="295">
        <f>'[4]Estimacion PIB 2013-2027'!N30</f>
        <v>48545.361572299298</v>
      </c>
      <c r="L63" s="296">
        <f>'[4]Estimacion PIB 2013-2027'!P30</f>
        <v>36142.705884124283</v>
      </c>
      <c r="M63" s="294"/>
      <c r="N63" s="295"/>
      <c r="O63" s="443"/>
      <c r="P63" s="302"/>
      <c r="Q63" s="294"/>
      <c r="R63" s="295"/>
      <c r="S63" s="298"/>
      <c r="T63" s="295"/>
      <c r="U63" s="295"/>
      <c r="V63" s="726">
        <v>2021</v>
      </c>
      <c r="W63" s="295"/>
      <c r="X63" s="303" t="e">
        <f t="shared" si="16"/>
        <v>#DIV/0!</v>
      </c>
      <c r="Y63" s="303" t="e">
        <f t="shared" si="16"/>
        <v>#DIV/0!</v>
      </c>
      <c r="Z63" s="304" t="e">
        <f t="shared" si="16"/>
        <v>#DIV/0!</v>
      </c>
    </row>
    <row r="64" spans="3:30">
      <c r="C64" s="293">
        <f t="shared" si="5"/>
        <v>2022</v>
      </c>
      <c r="D64" s="1321"/>
      <c r="E64" s="294"/>
      <c r="F64" s="295"/>
      <c r="G64" s="295"/>
      <c r="H64" s="296"/>
      <c r="I64" s="301"/>
      <c r="J64" s="295">
        <f>'[4]Estimacion PIB 2013-2027'!L31</f>
        <v>44246.704613119859</v>
      </c>
      <c r="K64" s="295">
        <f>'[4]Estimacion PIB 2013-2027'!N31</f>
        <v>51458.083266637259</v>
      </c>
      <c r="L64" s="296">
        <f>'[4]Estimacion PIB 2013-2027'!P31</f>
        <v>37407.700590068627</v>
      </c>
      <c r="M64" s="294"/>
      <c r="N64" s="295"/>
      <c r="O64" s="443"/>
      <c r="P64" s="302"/>
      <c r="Q64" s="294"/>
      <c r="R64" s="295"/>
      <c r="S64" s="298"/>
      <c r="T64" s="295"/>
      <c r="U64" s="295"/>
      <c r="V64" s="726">
        <v>2022</v>
      </c>
      <c r="W64" s="295"/>
      <c r="X64" s="303" t="e">
        <f t="shared" si="16"/>
        <v>#DIV/0!</v>
      </c>
      <c r="Y64" s="303" t="e">
        <f t="shared" si="16"/>
        <v>#DIV/0!</v>
      </c>
      <c r="Z64" s="304" t="e">
        <f t="shared" si="16"/>
        <v>#DIV/0!</v>
      </c>
    </row>
    <row r="65" spans="3:26">
      <c r="C65" s="293">
        <f t="shared" si="5"/>
        <v>2023</v>
      </c>
      <c r="D65" s="1321"/>
      <c r="E65" s="294"/>
      <c r="F65" s="295"/>
      <c r="G65" s="295"/>
      <c r="H65" s="296"/>
      <c r="I65" s="301"/>
      <c r="J65" s="295">
        <f>'[4]Estimacion PIB 2013-2027'!L32</f>
        <v>46459.039843775856</v>
      </c>
      <c r="K65" s="295">
        <f>'[4]Estimacion PIB 2013-2027'!N32</f>
        <v>54545.568262635497</v>
      </c>
      <c r="L65" s="296">
        <f>'[4]Estimacion PIB 2013-2027'!P32</f>
        <v>38716.970110721028</v>
      </c>
      <c r="M65" s="294"/>
      <c r="N65" s="295"/>
      <c r="O65" s="443"/>
      <c r="P65" s="302"/>
      <c r="Q65" s="294"/>
      <c r="R65" s="295"/>
      <c r="S65" s="298"/>
      <c r="T65" s="295"/>
      <c r="U65" s="295"/>
      <c r="V65" s="726">
        <v>2023</v>
      </c>
      <c r="W65" s="295"/>
      <c r="X65" s="303" t="e">
        <f t="shared" si="16"/>
        <v>#DIV/0!</v>
      </c>
      <c r="Y65" s="303" t="e">
        <f t="shared" si="16"/>
        <v>#DIV/0!</v>
      </c>
      <c r="Z65" s="304" t="e">
        <f t="shared" si="16"/>
        <v>#DIV/0!</v>
      </c>
    </row>
    <row r="66" spans="3:26">
      <c r="C66" s="293">
        <f t="shared" si="5"/>
        <v>2024</v>
      </c>
      <c r="D66" s="1321"/>
      <c r="E66" s="294"/>
      <c r="F66" s="295"/>
      <c r="G66" s="295"/>
      <c r="H66" s="296"/>
      <c r="I66" s="301"/>
      <c r="J66" s="295">
        <f>'[4]Estimacion PIB 2013-2027'!L33</f>
        <v>48781.991835964647</v>
      </c>
      <c r="K66" s="295">
        <f>'[4]Estimacion PIB 2013-2027'!N33</f>
        <v>57818.30235839363</v>
      </c>
      <c r="L66" s="296">
        <f>'[4]Estimacion PIB 2013-2027'!P33</f>
        <v>40072.064064596263</v>
      </c>
      <c r="M66" s="294"/>
      <c r="N66" s="295"/>
      <c r="O66" s="443"/>
      <c r="P66" s="302"/>
      <c r="Q66" s="294"/>
      <c r="R66" s="295"/>
      <c r="S66" s="298"/>
      <c r="T66" s="295"/>
      <c r="U66" s="295"/>
      <c r="V66" s="726">
        <v>2024</v>
      </c>
      <c r="W66" s="295"/>
      <c r="X66" s="303" t="e">
        <f t="shared" si="16"/>
        <v>#DIV/0!</v>
      </c>
      <c r="Y66" s="303" t="e">
        <f t="shared" si="16"/>
        <v>#DIV/0!</v>
      </c>
      <c r="Z66" s="304" t="e">
        <f t="shared" si="16"/>
        <v>#DIV/0!</v>
      </c>
    </row>
    <row r="67" spans="3:26">
      <c r="C67" s="293">
        <f t="shared" si="5"/>
        <v>2025</v>
      </c>
      <c r="D67" s="1321"/>
      <c r="E67" s="294"/>
      <c r="F67" s="295"/>
      <c r="G67" s="295"/>
      <c r="H67" s="296"/>
      <c r="I67" s="301"/>
      <c r="J67" s="295">
        <f>'[4]Estimacion PIB 2013-2027'!L34</f>
        <v>51221.091427762884</v>
      </c>
      <c r="K67" s="295">
        <f>'[4]Estimacion PIB 2013-2027'!N34</f>
        <v>61287.400499897252</v>
      </c>
      <c r="L67" s="296">
        <f>'[4]Estimacion PIB 2013-2027'!P34</f>
        <v>41474.586306857127</v>
      </c>
      <c r="M67" s="294"/>
      <c r="N67" s="295"/>
      <c r="O67" s="443"/>
      <c r="P67" s="302"/>
      <c r="Q67" s="294"/>
      <c r="R67" s="295"/>
      <c r="S67" s="298"/>
      <c r="T67" s="295"/>
      <c r="U67" s="295"/>
      <c r="V67" s="726">
        <v>2025</v>
      </c>
      <c r="W67" s="295"/>
      <c r="X67" s="303" t="e">
        <f t="shared" si="16"/>
        <v>#DIV/0!</v>
      </c>
      <c r="Y67" s="303" t="e">
        <f t="shared" si="16"/>
        <v>#DIV/0!</v>
      </c>
      <c r="Z67" s="304" t="e">
        <f t="shared" si="16"/>
        <v>#DIV/0!</v>
      </c>
    </row>
    <row r="68" spans="3:26">
      <c r="C68" s="293">
        <f t="shared" si="5"/>
        <v>2026</v>
      </c>
      <c r="D68" s="1321"/>
      <c r="E68" s="294"/>
      <c r="F68" s="295"/>
      <c r="G68" s="295"/>
      <c r="H68" s="296"/>
      <c r="I68" s="301"/>
      <c r="J68" s="295">
        <f>'[4]Estimacion PIB 2013-2027'!L35</f>
        <v>53782.145999151027</v>
      </c>
      <c r="K68" s="295">
        <f>'[4]Estimacion PIB 2013-2027'!N35</f>
        <v>64964.644529891091</v>
      </c>
      <c r="L68" s="296">
        <f>'[4]Estimacion PIB 2013-2027'!P35</f>
        <v>42926.196827597123</v>
      </c>
      <c r="M68" s="294"/>
      <c r="N68" s="295"/>
      <c r="O68" s="443"/>
      <c r="P68" s="302"/>
      <c r="Q68" s="294"/>
      <c r="R68" s="295"/>
      <c r="S68" s="298"/>
      <c r="T68" s="295"/>
      <c r="U68" s="295"/>
      <c r="V68" s="726">
        <v>2026</v>
      </c>
      <c r="W68" s="295"/>
      <c r="X68" s="303" t="e">
        <f>Q68/Q67-1</f>
        <v>#DIV/0!</v>
      </c>
      <c r="Y68" s="303" t="e">
        <f>R68/R67-1</f>
        <v>#DIV/0!</v>
      </c>
      <c r="Z68" s="304" t="e">
        <f>S68/S67-1</f>
        <v>#DIV/0!</v>
      </c>
    </row>
    <row r="69" spans="3:26">
      <c r="C69" s="293">
        <f t="shared" si="5"/>
        <v>2027</v>
      </c>
      <c r="D69" s="1321"/>
      <c r="E69" s="294"/>
      <c r="F69" s="295"/>
      <c r="G69" s="295"/>
      <c r="H69" s="296"/>
      <c r="I69" s="301"/>
      <c r="J69" s="295">
        <f>'[4]Estimacion PIB 2013-2027'!L36</f>
        <v>56471.253299108583</v>
      </c>
      <c r="K69" s="295">
        <f>'[4]Estimacion PIB 2013-2027'!N36</f>
        <v>68862.523201684555</v>
      </c>
      <c r="L69" s="295">
        <f>'[4]Estimacion PIB 2013-2027'!P36</f>
        <v>44428.613716563021</v>
      </c>
      <c r="M69" s="294"/>
      <c r="N69" s="295"/>
      <c r="O69" s="443"/>
      <c r="P69" s="302"/>
      <c r="Q69" s="294"/>
      <c r="R69" s="295"/>
      <c r="S69" s="298"/>
      <c r="T69" s="295"/>
      <c r="U69" s="295"/>
      <c r="V69" s="726"/>
      <c r="W69" s="295"/>
      <c r="X69" s="303"/>
      <c r="Y69" s="303"/>
      <c r="Z69" s="304"/>
    </row>
    <row r="70" spans="3:26" ht="13.5" thickBot="1">
      <c r="C70" s="305"/>
      <c r="D70" s="252"/>
      <c r="E70" s="306"/>
      <c r="F70" s="252"/>
      <c r="G70" s="252"/>
      <c r="H70" s="307"/>
      <c r="I70" s="308"/>
      <c r="J70" s="252"/>
      <c r="K70" s="252"/>
      <c r="L70" s="252"/>
      <c r="M70" s="306"/>
      <c r="N70" s="252"/>
      <c r="O70" s="307"/>
      <c r="P70" s="308"/>
      <c r="Q70" s="252"/>
      <c r="R70" s="309"/>
      <c r="S70" s="310"/>
      <c r="T70" s="247"/>
      <c r="U70" s="247"/>
      <c r="V70" s="305"/>
      <c r="W70" s="252"/>
      <c r="X70" s="252"/>
      <c r="Y70" s="311"/>
      <c r="Z70" s="312"/>
    </row>
    <row r="73" spans="3:26">
      <c r="D73" s="736" t="s">
        <v>450</v>
      </c>
    </row>
    <row r="74" spans="3:26">
      <c r="D74" s="737"/>
    </row>
    <row r="75" spans="3:26">
      <c r="D75" s="736" t="s">
        <v>451</v>
      </c>
      <c r="E75" s="992"/>
      <c r="F75" s="992"/>
      <c r="G75" s="992"/>
      <c r="H75" s="992"/>
      <c r="I75" s="992"/>
      <c r="J75" s="992"/>
      <c r="K75" s="992"/>
      <c r="L75" s="992"/>
      <c r="M75" s="992"/>
      <c r="N75" s="992"/>
      <c r="O75" s="992"/>
      <c r="P75" s="992"/>
      <c r="Q75" s="992"/>
      <c r="R75" s="992"/>
      <c r="S75" s="992"/>
    </row>
    <row r="76" spans="3:26">
      <c r="D76" s="737"/>
    </row>
    <row r="77" spans="3:26">
      <c r="D77" s="738"/>
    </row>
    <row r="78" spans="3:26" ht="14.25">
      <c r="D78" s="739"/>
    </row>
    <row r="79" spans="3:26" ht="14.25">
      <c r="D79" s="739"/>
    </row>
  </sheetData>
  <mergeCells count="19">
    <mergeCell ref="D24:D51"/>
    <mergeCell ref="D55:D69"/>
    <mergeCell ref="H9:H10"/>
    <mergeCell ref="I9:I10"/>
    <mergeCell ref="J9:L9"/>
    <mergeCell ref="C3:S4"/>
    <mergeCell ref="V3:Z3"/>
    <mergeCell ref="C5:T5"/>
    <mergeCell ref="V5:Z5"/>
    <mergeCell ref="C7:C10"/>
    <mergeCell ref="E7:S8"/>
    <mergeCell ref="V7:W10"/>
    <mergeCell ref="X7:Z8"/>
    <mergeCell ref="D8:D10"/>
    <mergeCell ref="E9:G9"/>
    <mergeCell ref="X9:Z9"/>
    <mergeCell ref="M9:O9"/>
    <mergeCell ref="P9:P10"/>
    <mergeCell ref="Q9:S9"/>
  </mergeCells>
  <printOptions horizontalCentered="1" verticalCentered="1"/>
  <pageMargins left="0.39370078740157483" right="0.39370078740157483" top="1.1811023622047245" bottom="0.78740157480314965" header="0.39370078740157483" footer="0.39370078740157483"/>
  <pageSetup scale="53" orientation="landscape" r:id="rId1"/>
  <headerFooter alignWithMargins="0">
    <oddFooter>&amp;L&amp;8ESTUDIO DE LA DE DEMANDA  2009-2023
&amp;D &amp;T&amp;R&amp;8&amp;F/ &amp;A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20</vt:i4>
      </vt:variant>
    </vt:vector>
  </HeadingPairs>
  <TitlesOfParts>
    <vt:vector size="49" baseType="lpstr">
      <vt:lpstr>Anexo 3, Listado de Cuadros Imp</vt:lpstr>
      <vt:lpstr>1-Proyec Pob Tot. 2010</vt:lpstr>
      <vt:lpstr>2- Tasas de Poblacion</vt:lpstr>
      <vt:lpstr>3-Inflación</vt:lpstr>
      <vt:lpstr>4-PIB 2012, tres metodologías</vt:lpstr>
      <vt:lpstr>5-PIB Estruc. Est. II Trim 2012</vt:lpstr>
      <vt:lpstr>6-PIB Estructural 2013 Est. 2T</vt:lpstr>
      <vt:lpstr>7-Estimacion PIB 2013-2027</vt:lpstr>
      <vt:lpstr>8-Empalme de Bases 96-82 13-27</vt:lpstr>
      <vt:lpstr>9-Est. PIB MANUFACTURA ACP1996</vt:lpstr>
      <vt:lpstr>10-Est. PIB MANUFACTURA EMPALM</vt:lpstr>
      <vt:lpstr>11-PIB-Moderado Base-1982</vt:lpstr>
      <vt:lpstr>12-PIB-Optimista Base-1982</vt:lpstr>
      <vt:lpstr>13-PIB-Pesimista Base-1982</vt:lpstr>
      <vt:lpstr>14- PIB-Resumen Escenarios </vt:lpstr>
      <vt:lpstr>15-FactorCarga-PronosLineal</vt:lpstr>
      <vt:lpstr>16- PerdidasPremisasProy.Mod.27</vt:lpstr>
      <vt:lpstr>17-Precios EE-análisis históri </vt:lpstr>
      <vt:lpstr>18-Evolucion de Precio Real EE</vt:lpstr>
      <vt:lpstr>19-Proyeccion real del PRETOT</vt:lpstr>
      <vt:lpstr>20-Bloque = Bocas</vt:lpstr>
      <vt:lpstr>21-Bloque Consolidado</vt:lpstr>
      <vt:lpstr>21A -Total Megaproyectos</vt:lpstr>
      <vt:lpstr>22-Resumen de Pronosticos Dem </vt:lpstr>
      <vt:lpstr>23-Por Sector Esc Medio</vt:lpstr>
      <vt:lpstr>24- Por Sector Alto</vt:lpstr>
      <vt:lpstr>25- Por Sector Bajo</vt:lpstr>
      <vt:lpstr>26 Demanda por Barra 2011-2025</vt:lpstr>
      <vt:lpstr>Hoja1</vt:lpstr>
      <vt:lpstr>'10-Est. PIB MANUFACTURA EMPALM'!Área_de_impresión</vt:lpstr>
      <vt:lpstr>'11-PIB-Moderado Base-1982'!Área_de_impresión</vt:lpstr>
      <vt:lpstr>'12-PIB-Optimista Base-1982'!Área_de_impresión</vt:lpstr>
      <vt:lpstr>'13-PIB-Pesimista Base-1982'!Área_de_impresión</vt:lpstr>
      <vt:lpstr>'15-FactorCarga-PronosLineal'!Área_de_impresión</vt:lpstr>
      <vt:lpstr>'16- PerdidasPremisasProy.Mod.27'!Área_de_impresión</vt:lpstr>
      <vt:lpstr>'17-Precios EE-análisis históri '!Área_de_impresión</vt:lpstr>
      <vt:lpstr>'19-Proyeccion real del PRETOT'!Área_de_impresión</vt:lpstr>
      <vt:lpstr>'2- Tasas de Poblacion'!Área_de_impresión</vt:lpstr>
      <vt:lpstr>'20-Bloque = Bocas'!Área_de_impresión</vt:lpstr>
      <vt:lpstr>'21-Bloque Consolidado'!Área_de_impresión</vt:lpstr>
      <vt:lpstr>'22-Resumen de Pronosticos Dem '!Área_de_impresión</vt:lpstr>
      <vt:lpstr>'26 Demanda por Barra 2011-2025'!Área_de_impresión</vt:lpstr>
      <vt:lpstr>'3-Inflación'!Área_de_impresión</vt:lpstr>
      <vt:lpstr>'4-PIB 2012, tres metodologías'!Área_de_impresión</vt:lpstr>
      <vt:lpstr>'6-PIB Estructural 2013 Est. 2T'!Área_de_impresión</vt:lpstr>
      <vt:lpstr>'7-Estimacion PIB 2013-2027'!Área_de_impresión</vt:lpstr>
      <vt:lpstr>'8-Empalme de Bases 96-82 13-27'!Área_de_impresión</vt:lpstr>
      <vt:lpstr>'9-Est. PIB MANUFACTURA ACP1996'!Área_de_impresión</vt:lpstr>
      <vt:lpstr>'Anexo 3, Listado de Cuadros Imp'!Área_de_impresión</vt:lpstr>
    </vt:vector>
  </TitlesOfParts>
  <Company>ETESA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3- PROYECCIONES DE DEMANDA 2007-2021</dc:title>
  <dc:creator>Mrivera</dc:creator>
  <cp:lastModifiedBy>Cbermudez</cp:lastModifiedBy>
  <cp:lastPrinted>2013-01-29T22:27:33Z</cp:lastPrinted>
  <dcterms:created xsi:type="dcterms:W3CDTF">2006-12-22T19:48:25Z</dcterms:created>
  <dcterms:modified xsi:type="dcterms:W3CDTF">2013-01-31T00:22:34Z</dcterms:modified>
</cp:coreProperties>
</file>