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4620" yWindow="75" windowWidth="9270" windowHeight="10380" tabRatio="938" activeTab="0"/>
  </bookViews>
  <sheets>
    <sheet name="Resumen" sheetId="48" r:id="rId1"/>
    <sheet name="CX cxj Año1 " sheetId="13" r:id="rId2"/>
    <sheet name="CX cxj Año2" sheetId="62" r:id="rId3"/>
    <sheet name="CX cxj Año3" sheetId="63" r:id="rId4"/>
    <sheet name="CX cxj Año4" sheetId="61" r:id="rId5"/>
    <sheet name="CX cxj  expansión condicion" sheetId="54" r:id="rId6"/>
    <sheet name=" VNR" sheetId="1" r:id="rId7"/>
    <sheet name="SALIDAS Y TRANSFORMACION" sheetId="20" r:id="rId8"/>
    <sheet name="N de Instalaciones" sheetId="3" r:id="rId9"/>
    <sheet name="VNR ASEP y Num. Inst." sheetId="59" r:id="rId10"/>
    <sheet name="VERIFICACIÓN DE INGRESOS" sheetId="26" r:id="rId11"/>
    <sheet name="IMP" sheetId="47" r:id="rId12"/>
    <sheet name="IPCT" sheetId="22" r:id="rId13"/>
    <sheet name="IPCT vnr" sheetId="23" r:id="rId14"/>
    <sheet name="FA" sheetId="24" r:id="rId15"/>
    <sheet name="metodologia FA" sheetId="60" r:id="rId16"/>
    <sheet name="Parámetros de eficiencia" sheetId="52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 localSheetId="15">#REF!</definedName>
    <definedName name="\0">#REF!</definedName>
    <definedName name="\a" localSheetId="15">#REF!</definedName>
    <definedName name="\a">#REF!</definedName>
    <definedName name="\b" localSheetId="15">#REF!</definedName>
    <definedName name="\b">#REF!</definedName>
    <definedName name="\c" localSheetId="15">#REF!</definedName>
    <definedName name="\c">#REF!</definedName>
    <definedName name="\d" localSheetId="15">#REF!</definedName>
    <definedName name="\d">#REF!</definedName>
    <definedName name="\e" localSheetId="15">#REF!</definedName>
    <definedName name="\e">#REF!</definedName>
    <definedName name="\f" localSheetId="15">#REF!</definedName>
    <definedName name="\f">#REF!</definedName>
    <definedName name="\g" localSheetId="15">#REF!</definedName>
    <definedName name="\g">#REF!</definedName>
    <definedName name="\h" localSheetId="15">#REF!</definedName>
    <definedName name="\h">#REF!</definedName>
    <definedName name="\i" localSheetId="15">#REF!</definedName>
    <definedName name="\i">#REF!</definedName>
    <definedName name="\j" localSheetId="15">#REF!</definedName>
    <definedName name="\j">#REF!</definedName>
    <definedName name="\k" localSheetId="15">#REF!</definedName>
    <definedName name="\k">#REF!</definedName>
    <definedName name="\m" localSheetId="15">#REF!</definedName>
    <definedName name="\m">#REF!</definedName>
    <definedName name="\r" localSheetId="15">#REF!</definedName>
    <definedName name="\r">#REF!</definedName>
    <definedName name="\w" localSheetId="15">#REF!</definedName>
    <definedName name="\w">#REF!</definedName>
    <definedName name="\z" localSheetId="15">#REF!</definedName>
    <definedName name="\z">#REF!</definedName>
    <definedName name="__CFP1">#REF!</definedName>
    <definedName name="__COP1">#REF!</definedName>
    <definedName name="__ERP1">#REF!</definedName>
    <definedName name="__ESP1">#REF!</definedName>
    <definedName name="__OAP1">#REF!</definedName>
    <definedName name="__PRO2">#REF!</definedName>
    <definedName name="__PRO3">#REF!</definedName>
    <definedName name="__PRO4">#REF!</definedName>
    <definedName name="__RFP1">#REF!</definedName>
    <definedName name="__SE1">#REF!</definedName>
    <definedName name="__SE11">#REF!</definedName>
    <definedName name="__SE12">#REF!</definedName>
    <definedName name="__SE13">#REF!</definedName>
    <definedName name="__SE14">#REF!</definedName>
    <definedName name="__SE15">#REF!</definedName>
    <definedName name="__SE16">#REF!</definedName>
    <definedName name="__SE2">#REF!</definedName>
    <definedName name="__SE3">#REF!</definedName>
    <definedName name="__SE4">#REF!</definedName>
    <definedName name="__SE5">#REF!</definedName>
    <definedName name="__SE6">#REF!</definedName>
    <definedName name="__TST1">#REF!</definedName>
    <definedName name="__TST2">#REF!</definedName>
    <definedName name="__TST3">#REF!</definedName>
    <definedName name="_2" localSheetId="15">#REF!</definedName>
    <definedName name="_2">#REF!</definedName>
    <definedName name="_CFP1" localSheetId="15">#REF!</definedName>
    <definedName name="_CFP1">#REF!</definedName>
    <definedName name="_COP1" localSheetId="15">#REF!</definedName>
    <definedName name="_COP1">#REF!</definedName>
    <definedName name="_ERP1" localSheetId="15">#REF!</definedName>
    <definedName name="_ERP1">#REF!</definedName>
    <definedName name="_ESP1" localSheetId="15">#REF!</definedName>
    <definedName name="_ESP1">#REF!</definedName>
    <definedName name="_Fill" localSheetId="15" hidden="1">#REF!</definedName>
    <definedName name="_Fill" hidden="1">#REF!</definedName>
    <definedName name="_OAP1" localSheetId="15">#REF!</definedName>
    <definedName name="_OAP1">#REF!</definedName>
    <definedName name="_PRO2" localSheetId="15">#REF!</definedName>
    <definedName name="_PRO2">#REF!</definedName>
    <definedName name="_PRO3" localSheetId="15">#REF!</definedName>
    <definedName name="_PRO3">#REF!</definedName>
    <definedName name="_PRO4" localSheetId="15">#REF!</definedName>
    <definedName name="_PRO4">#REF!</definedName>
    <definedName name="_RFP1" localSheetId="15">#REF!</definedName>
    <definedName name="_RFP1">#REF!</definedName>
    <definedName name="_SE1" localSheetId="15">#REF!</definedName>
    <definedName name="_SE1">#REF!</definedName>
    <definedName name="_SE11" localSheetId="15">#REF!</definedName>
    <definedName name="_SE11">#REF!</definedName>
    <definedName name="_SE12" localSheetId="15">#REF!</definedName>
    <definedName name="_SE12">#REF!</definedName>
    <definedName name="_SE13" localSheetId="15">#REF!</definedName>
    <definedName name="_SE13">#REF!</definedName>
    <definedName name="_SE14" localSheetId="15">#REF!</definedName>
    <definedName name="_SE14">#REF!</definedName>
    <definedName name="_SE15" localSheetId="15">#REF!</definedName>
    <definedName name="_SE15">#REF!</definedName>
    <definedName name="_SE16" localSheetId="15">#REF!</definedName>
    <definedName name="_SE16">#REF!</definedName>
    <definedName name="_SE2" localSheetId="15">#REF!</definedName>
    <definedName name="_SE2">#REF!</definedName>
    <definedName name="_SE3" localSheetId="15">#REF!</definedName>
    <definedName name="_SE3">#REF!</definedName>
    <definedName name="_SE4" localSheetId="15">#REF!</definedName>
    <definedName name="_SE4">#REF!</definedName>
    <definedName name="_SE5" localSheetId="15">#REF!</definedName>
    <definedName name="_SE5">#REF!</definedName>
    <definedName name="_SE6" localSheetId="15">#REF!</definedName>
    <definedName name="_SE6">#REF!</definedName>
    <definedName name="_TST1" localSheetId="15">#REF!</definedName>
    <definedName name="_TST1">#REF!</definedName>
    <definedName name="_TST2" localSheetId="15">#REF!</definedName>
    <definedName name="_TST2">#REF!</definedName>
    <definedName name="_TST3" localSheetId="15">#REF!</definedName>
    <definedName name="_TST3">#REF!</definedName>
    <definedName name="A_IMPRESIÓN_IM" localSheetId="15">#REF!</definedName>
    <definedName name="A_IMPRESIÓN_IM">#REF!</definedName>
    <definedName name="ACTUAL" localSheetId="15">#REF!</definedName>
    <definedName name="ACTUAL">#REF!</definedName>
    <definedName name="ANOS" localSheetId="15">#REF!</definedName>
    <definedName name="ANOS">#REF!</definedName>
    <definedName name="ANOSHIS" localSheetId="15">#REF!</definedName>
    <definedName name="ANOSHIS">#REF!</definedName>
    <definedName name="ANOUNO" localSheetId="15">#REF!</definedName>
    <definedName name="ANOUNO">#REF!</definedName>
    <definedName name="_xlnm.Print_Area" localSheetId="5">'CX cxj  expansión condicion'!$A$1:$H$20</definedName>
    <definedName name="_xlnm.Print_Area" localSheetId="1">'CX cxj Año1 '!$A$1:$K$35</definedName>
    <definedName name="_xlnm.Print_Area" localSheetId="14">'FA'!$A$1:$G$14</definedName>
    <definedName name="_xlnm.Print_Area" localSheetId="12">'IPCT'!$A$2:$H$38</definedName>
    <definedName name="_xlnm.Print_Area" localSheetId="13">'IPCT vnr'!$A$2:$H$38</definedName>
    <definedName name="_xlnm.Print_Area" localSheetId="15">'metodologia FA'!$A$1:$I$146</definedName>
    <definedName name="_xlnm.Print_Area" localSheetId="8">'N de Instalaciones'!$B$1:$K$22</definedName>
    <definedName name="_xlnm.Print_Area" localSheetId="16">'Parámetros de eficiencia'!$A$1:$H$10</definedName>
    <definedName name="_xlnm.Print_Area" localSheetId="0">'Resumen'!$B$1:$E$54</definedName>
    <definedName name="_xlnm.Print_Area" localSheetId="7">'SALIDAS Y TRANSFORMACION'!$B$2:$H$51</definedName>
    <definedName name="ASSUMPTIONS" localSheetId="15">#REF!</definedName>
    <definedName name="ASSUMPTIONS">#REF!</definedName>
    <definedName name="BALANCE_SH" localSheetId="15">#REF!</definedName>
    <definedName name="BALANCE_SH">#REF!</definedName>
    <definedName name="Base_datos_IM" localSheetId="15">#REF!</definedName>
    <definedName name="Base_datos_IM">#REF!</definedName>
    <definedName name="BASIC_DATA" localSheetId="15">#REF!</definedName>
    <definedName name="BASIC_DATA">#REF!</definedName>
    <definedName name="BASICO" localSheetId="15">#REF!</definedName>
    <definedName name="BASICO">#REF!</definedName>
    <definedName name="BLANK" localSheetId="15">#REF!</definedName>
    <definedName name="BLANK">#REF!</definedName>
    <definedName name="Blev" localSheetId="15">#REF!</definedName>
    <definedName name="Blev">#REF!</definedName>
    <definedName name="Bu" localSheetId="15">#REF!</definedName>
    <definedName name="Bu">#REF!</definedName>
    <definedName name="CALCULAR" localSheetId="15">#REF!</definedName>
    <definedName name="CALCULAR">#REF!</definedName>
    <definedName name="CASH_FL" localSheetId="15">#REF!</definedName>
    <definedName name="CASH_FL">#REF!</definedName>
    <definedName name="CASH_FLOW_RPT" localSheetId="15">#REF!</definedName>
    <definedName name="CASH_FLOW_RPT">#REF!</definedName>
    <definedName name="CASH_RPT_BR_ROW" localSheetId="15">#REF!</definedName>
    <definedName name="CASH_RPT_BR_ROW">#REF!</definedName>
    <definedName name="CASH_RPT_HEADER" localSheetId="15">#REF!</definedName>
    <definedName name="CASH_RPT_HEADER">#REF!</definedName>
    <definedName name="CASHFLOW" localSheetId="15">#REF!</definedName>
    <definedName name="CASHFLOW">#REF!</definedName>
    <definedName name="CBASE" localSheetId="15">#REF!</definedName>
    <definedName name="CBASE">#REF!</definedName>
    <definedName name="CCC" localSheetId="15">#REF!</definedName>
    <definedName name="CCC">#REF!</definedName>
    <definedName name="CF_CY" localSheetId="15">#REF!</definedName>
    <definedName name="CF_CY">#REF!</definedName>
    <definedName name="CFP" localSheetId="15">#REF!</definedName>
    <definedName name="CFP">#REF!</definedName>
    <definedName name="CFPC" localSheetId="15">#REF!</definedName>
    <definedName name="CFPC">#REF!</definedName>
    <definedName name="CFPDATA" localSheetId="15">#REF!</definedName>
    <definedName name="CFPDATA">#REF!</definedName>
    <definedName name="CFPTITLES" localSheetId="15">#REF!</definedName>
    <definedName name="CFPTITLES">#REF!</definedName>
    <definedName name="CFTITLE" localSheetId="15">#REF!</definedName>
    <definedName name="CFTITLE">#REF!</definedName>
    <definedName name="CFUNIT" localSheetId="15">#REF!</definedName>
    <definedName name="CFUNIT">#REF!</definedName>
    <definedName name="CHANGES" localSheetId="15">#REF!</definedName>
    <definedName name="CHANGES">#REF!</definedName>
    <definedName name="CHECAMAC" localSheetId="15">#REF!</definedName>
    <definedName name="CHECAMAC">#REF!</definedName>
    <definedName name="CHECAOPT" localSheetId="15">#REF!</definedName>
    <definedName name="CHECAOPT">#REF!</definedName>
    <definedName name="CO_CY" localSheetId="15">#REF!</definedName>
    <definedName name="CO_CY">#REF!</definedName>
    <definedName name="COLTOTAL" localSheetId="15">#REF!</definedName>
    <definedName name="COLTOTAL">#REF!</definedName>
    <definedName name="COLWIDE" localSheetId="15">#REF!</definedName>
    <definedName name="COLWIDE">#REF!</definedName>
    <definedName name="CON_ACC_REC" localSheetId="15">#REF!</definedName>
    <definedName name="CON_ACC_REC">#REF!</definedName>
    <definedName name="CON_ALL_REPORT" localSheetId="15">#REF!</definedName>
    <definedName name="CON_ALL_REPORT">#REF!</definedName>
    <definedName name="CON_NETWORTH" localSheetId="15">#REF!</definedName>
    <definedName name="CON_NETWORTH">#REF!</definedName>
    <definedName name="CON_PAS_COR" localSheetId="15">#REF!</definedName>
    <definedName name="CON_PAS_COR">#REF!</definedName>
    <definedName name="CON_REPT_FOOTER" localSheetId="15">#REF!</definedName>
    <definedName name="CON_REPT_FOOTER">#REF!</definedName>
    <definedName name="CON_REPT_HEADER" localSheetId="15">#REF!</definedName>
    <definedName name="CON_REPT_HEADER">#REF!</definedName>
    <definedName name="CON_REVENUE" localSheetId="15">#REF!</definedName>
    <definedName name="CON_REVENUE">#REF!</definedName>
    <definedName name="CON_RPT_BOR_COL" localSheetId="15">#REF!</definedName>
    <definedName name="CON_RPT_BOR_COL">#REF!</definedName>
    <definedName name="CON_RPT_BOR_ROW" localSheetId="15">#REF!</definedName>
    <definedName name="CON_RPT_BOR_ROW">#REF!</definedName>
    <definedName name="CON_VOLUMES" localSheetId="15">#REF!</definedName>
    <definedName name="CON_VOLUMES">#REF!</definedName>
    <definedName name="CONEX" localSheetId="15">#REF!</definedName>
    <definedName name="CONEX">#REF!</definedName>
    <definedName name="CONSOL_FIXED_AS" localSheetId="15">#REF!</definedName>
    <definedName name="CONSOL_FIXED_AS">#REF!</definedName>
    <definedName name="CONSOL_FUENTE_I" localSheetId="15">#REF!</definedName>
    <definedName name="CONSOL_FUENTE_I">#REF!</definedName>
    <definedName name="CONSOL_RPT" localSheetId="15">#REF!</definedName>
    <definedName name="CONSOL_RPT">#REF!</definedName>
    <definedName name="CONSOLIDA" localSheetId="15">#REF!</definedName>
    <definedName name="CONSOLIDA">#REF!</definedName>
    <definedName name="CONSOLIDATION" localSheetId="15">#REF!</definedName>
    <definedName name="CONSOLIDATION">#REF!</definedName>
    <definedName name="COP" localSheetId="15">#REF!</definedName>
    <definedName name="COP">#REF!</definedName>
    <definedName name="COPDATA" localSheetId="15">#REF!</definedName>
    <definedName name="COPDATA">#REF!</definedName>
    <definedName name="COTITLE" localSheetId="15">#REF!</definedName>
    <definedName name="COTITLE">#REF!</definedName>
    <definedName name="COUNIT" localSheetId="15">#REF!</definedName>
    <definedName name="COUNIT">#REF!</definedName>
    <definedName name="Criterios_IM" localSheetId="15">#REF!</definedName>
    <definedName name="Criterios_IM">#REF!</definedName>
    <definedName name="CSD" localSheetId="15">#REF!</definedName>
    <definedName name="CSD">#REF!</definedName>
    <definedName name="CY_DOLAR" localSheetId="15">#REF!</definedName>
    <definedName name="CY_DOLAR">#REF!</definedName>
    <definedName name="CY_LOCAL" localSheetId="15">#REF!</definedName>
    <definedName name="CY_LOCAL">#REF!</definedName>
    <definedName name="DATOSE" localSheetId="15">#REF!</definedName>
    <definedName name="DATOSE">#REF!</definedName>
    <definedName name="DBHH" localSheetId="15">#REF!</definedName>
    <definedName name="DBHH">#REF!</definedName>
    <definedName name="DBPC" localSheetId="15">#REF!</definedName>
    <definedName name="DBPC">#REF!</definedName>
    <definedName name="DBT" localSheetId="15">#REF!</definedName>
    <definedName name="DBT">#REF!</definedName>
    <definedName name="DCOL" localSheetId="15">#REF!</definedName>
    <definedName name="DCOL">#REF!</definedName>
    <definedName name="DE" localSheetId="15">#REF!</definedName>
    <definedName name="DE">#REF!</definedName>
    <definedName name="DECI" localSheetId="15">#REF!</definedName>
    <definedName name="DECI">#REF!</definedName>
    <definedName name="DENOMINATION" localSheetId="15">#REF!</definedName>
    <definedName name="DENOMINATION">#REF!</definedName>
    <definedName name="DEPRINT" localSheetId="15">#REF!</definedName>
    <definedName name="DEPRINT">#REF!</definedName>
    <definedName name="DEUDA" localSheetId="15">#REF!</definedName>
    <definedName name="DEUDA">#REF!</definedName>
    <definedName name="DEUDAL" localSheetId="15">#REF!</definedName>
    <definedName name="DEUDAL">#REF!</definedName>
    <definedName name="DV" localSheetId="15">#REF!</definedName>
    <definedName name="DV">#REF!</definedName>
    <definedName name="ENTRY" localSheetId="15">#REF!</definedName>
    <definedName name="ENTRY">#REF!</definedName>
    <definedName name="ER_CY" localSheetId="15">#REF!</definedName>
    <definedName name="ER_CY">#REF!</definedName>
    <definedName name="ERHACTUAL" localSheetId="15">#REF!</definedName>
    <definedName name="ERHACTUAL">#REF!</definedName>
    <definedName name="ERHDATA10YEARS" localSheetId="15">#REF!</definedName>
    <definedName name="ERHDATA10YEARS">#REF!</definedName>
    <definedName name="ERHDATA5" localSheetId="15">#REF!</definedName>
    <definedName name="ERHDATA5">#REF!</definedName>
    <definedName name="ERHTITLES" localSheetId="15">#REF!</definedName>
    <definedName name="ERHTITLES">#REF!</definedName>
    <definedName name="ERP" localSheetId="15">#REF!</definedName>
    <definedName name="ERP">#REF!</definedName>
    <definedName name="ERP_LAST" localSheetId="15">#REF!</definedName>
    <definedName name="ERP_LAST">#REF!</definedName>
    <definedName name="ERP0" localSheetId="15">#REF!</definedName>
    <definedName name="ERP0">#REF!</definedName>
    <definedName name="ERPC" localSheetId="15">#REF!</definedName>
    <definedName name="ERPC">#REF!</definedName>
    <definedName name="ERPDATA" localSheetId="15">#REF!</definedName>
    <definedName name="ERPDATA">#REF!</definedName>
    <definedName name="ERPTITLES" localSheetId="15">#REF!</definedName>
    <definedName name="ERPTITLES">#REF!</definedName>
    <definedName name="ERPUNO" localSheetId="15">#REF!</definedName>
    <definedName name="ERPUNO">#REF!</definedName>
    <definedName name="ERPWP" localSheetId="15">#REF!</definedName>
    <definedName name="ERPWP">#REF!</definedName>
    <definedName name="ERTITLE" localSheetId="15">#REF!</definedName>
    <definedName name="ERTITLE">#REF!</definedName>
    <definedName name="ERUNIT" localSheetId="15">#REF!</definedName>
    <definedName name="ERUNIT">#REF!</definedName>
    <definedName name="ES_CY" localSheetId="15">#REF!</definedName>
    <definedName name="ES_CY">#REF!</definedName>
    <definedName name="ESP" localSheetId="15">#REF!</definedName>
    <definedName name="ESP">#REF!</definedName>
    <definedName name="ESP_LAST" localSheetId="15">#REF!</definedName>
    <definedName name="ESP_LAST">#REF!</definedName>
    <definedName name="ESP0" localSheetId="15">#REF!</definedName>
    <definedName name="ESP0">#REF!</definedName>
    <definedName name="ESPACTUAL" localSheetId="15">#REF!</definedName>
    <definedName name="ESPACTUAL">#REF!</definedName>
    <definedName name="ESPANOL" localSheetId="15">#REF!</definedName>
    <definedName name="ESPANOL">#REF!</definedName>
    <definedName name="ESPC" localSheetId="15">#REF!</definedName>
    <definedName name="ESPC">#REF!</definedName>
    <definedName name="ESPDATA" localSheetId="15">#REF!</definedName>
    <definedName name="ESPDATA">#REF!</definedName>
    <definedName name="ESPTITLES" localSheetId="15">#REF!</definedName>
    <definedName name="ESPTITLES">#REF!</definedName>
    <definedName name="ESPUNO" localSheetId="15">#REF!</definedName>
    <definedName name="ESPUNO">#REF!</definedName>
    <definedName name="ESTITLE" localSheetId="15">#REF!</definedName>
    <definedName name="ESTITLE">#REF!</definedName>
    <definedName name="ESUNIT" localSheetId="15">#REF!</definedName>
    <definedName name="ESUNIT">#REF!</definedName>
    <definedName name="EXIT" localSheetId="15">#REF!</definedName>
    <definedName name="EXIT">#REF!</definedName>
    <definedName name="Extracción_IM" localSheetId="15">#REF!</definedName>
    <definedName name="Extracción_IM">#REF!</definedName>
    <definedName name="FACEL" localSheetId="15">#REF!</definedName>
    <definedName name="FACEL">#REF!</definedName>
    <definedName name="FACWA" localSheetId="15">#REF!</definedName>
    <definedName name="FACWA">#REF!</definedName>
    <definedName name="FILE1" localSheetId="15">#REF!</definedName>
    <definedName name="FILE1">#REF!</definedName>
    <definedName name="FILE2" localSheetId="15">#REF!</definedName>
    <definedName name="FILE2">#REF!</definedName>
    <definedName name="FILE3" localSheetId="15">#REF!</definedName>
    <definedName name="FILE3">#REF!</definedName>
    <definedName name="FILE4" localSheetId="15">#REF!</definedName>
    <definedName name="FILE4">#REF!</definedName>
    <definedName name="FILE5" localSheetId="15">#REF!</definedName>
    <definedName name="FILE5">#REF!</definedName>
    <definedName name="FILE6" localSheetId="15">#REF!</definedName>
    <definedName name="FILE6">#REF!</definedName>
    <definedName name="FILE7" localSheetId="15">#REF!</definedName>
    <definedName name="FILE7">#REF!</definedName>
    <definedName name="FILE8" localSheetId="15">#REF!</definedName>
    <definedName name="FILE8">#REF!</definedName>
    <definedName name="FILENAME" localSheetId="15">#REF!</definedName>
    <definedName name="FILENAME">#REF!</definedName>
    <definedName name="FILES" localSheetId="15">#REF!</definedName>
    <definedName name="FILES">#REF!</definedName>
    <definedName name="FILESET_UP" localSheetId="15">#REF!</definedName>
    <definedName name="FILESET_UP">#REF!</definedName>
    <definedName name="FIN" localSheetId="15">#REF!</definedName>
    <definedName name="FIN">#REF!</definedName>
    <definedName name="FORMAT" localSheetId="15">#REF!</definedName>
    <definedName name="FORMAT">#REF!</definedName>
    <definedName name="FRAME" localSheetId="15">#REF!</definedName>
    <definedName name="FRAME">#REF!</definedName>
    <definedName name="FREEZE" localSheetId="15">#REF!</definedName>
    <definedName name="FREEZE">#REF!</definedName>
    <definedName name="GINC" localSheetId="15">#REF!</definedName>
    <definedName name="GINC">#REF!</definedName>
    <definedName name="GINCL" localSheetId="15">#REF!</definedName>
    <definedName name="GINCL">#REF!</definedName>
    <definedName name="GWH" localSheetId="15">#REF!</definedName>
    <definedName name="GWH">#REF!</definedName>
    <definedName name="HISTORY" localSheetId="15">#REF!</definedName>
    <definedName name="HISTORY">#REF!</definedName>
    <definedName name="HOJAT" localSheetId="15">#REF!</definedName>
    <definedName name="HOJAT">#REF!</definedName>
    <definedName name="i" localSheetId="15">#REF!</definedName>
    <definedName name="i">#REF!</definedName>
    <definedName name="IMPANO0" localSheetId="15">#REF!</definedName>
    <definedName name="IMPANO0">#REF!</definedName>
    <definedName name="INCOME_ST" localSheetId="15">#REF!</definedName>
    <definedName name="INCOME_ST">#REF!</definedName>
    <definedName name="INDSAVE" localSheetId="15">#REF!</definedName>
    <definedName name="INDSAVE">#REF!</definedName>
    <definedName name="INGLES" localSheetId="15">#REF!</definedName>
    <definedName name="INGLES">#REF!</definedName>
    <definedName name="INICIO" localSheetId="15">#REF!</definedName>
    <definedName name="INICIO">#REF!</definedName>
    <definedName name="INSTRUCCONSOL" localSheetId="15">#REF!</definedName>
    <definedName name="INSTRUCCONSOL">#REF!</definedName>
    <definedName name="ITER" localSheetId="15">#REF!</definedName>
    <definedName name="ITER">#REF!</definedName>
    <definedName name="JKL" localSheetId="15">#REF!</definedName>
    <definedName name="JKL">#REF!</definedName>
    <definedName name="LANGUAGE" localSheetId="15">#REF!</definedName>
    <definedName name="LANGUAGE">#REF!</definedName>
    <definedName name="LASER" localSheetId="15">#REF!</definedName>
    <definedName name="LASER">#REF!</definedName>
    <definedName name="LAST_YEAR" localSheetId="15">#REF!</definedName>
    <definedName name="LAST_YEAR">#REF!</definedName>
    <definedName name="LEARN" localSheetId="15">#REF!</definedName>
    <definedName name="LEARN">#REF!</definedName>
    <definedName name="LINE_" localSheetId="15">#REF!</definedName>
    <definedName name="LINE_">#REF!</definedName>
    <definedName name="LINES_ML" localSheetId="15">#REF!</definedName>
    <definedName name="LINES_ML">#REF!</definedName>
    <definedName name="LOGO" localSheetId="15">#REF!</definedName>
    <definedName name="LOGO">#REF!</definedName>
    <definedName name="MAIN" localSheetId="15">#REF!</definedName>
    <definedName name="MAIN">#REF!</definedName>
    <definedName name="MENSAJ" localSheetId="15">#REF!</definedName>
    <definedName name="MENSAJ">#REF!</definedName>
    <definedName name="MENSAJ1" localSheetId="15">#REF!</definedName>
    <definedName name="MENSAJ1">#REF!</definedName>
    <definedName name="MENSAJE" localSheetId="15">#REF!</definedName>
    <definedName name="MENSAJE">#REF!</definedName>
    <definedName name="MENSAJE1" localSheetId="15">#REF!</definedName>
    <definedName name="MENSAJE1">#REF!</definedName>
    <definedName name="MESES" localSheetId="15">#REF!</definedName>
    <definedName name="MESES">#REF!</definedName>
    <definedName name="MESESL" localSheetId="15">#REF!</definedName>
    <definedName name="MESESL">#REF!</definedName>
    <definedName name="MIL" localSheetId="15">#REF!</definedName>
    <definedName name="MIL">#REF!</definedName>
    <definedName name="MILLON" localSheetId="15">#REF!</definedName>
    <definedName name="MILLON">#REF!</definedName>
    <definedName name="MODINFO" localSheetId="15">#REF!</definedName>
    <definedName name="MODINFO">#REF!</definedName>
    <definedName name="MODULES" localSheetId="15">#REF!</definedName>
    <definedName name="MODULES">#REF!</definedName>
    <definedName name="MSGCALC" localSheetId="15">#REF!</definedName>
    <definedName name="MSGCALC">#REF!</definedName>
    <definedName name="MSGDEBT" localSheetId="15">#REF!</definedName>
    <definedName name="MSGDEBT">#REF!</definedName>
    <definedName name="MSGFILES" localSheetId="15">#REF!</definedName>
    <definedName name="MSGFILES">#REF!</definedName>
    <definedName name="MSGINVEST" localSheetId="15">#REF!</definedName>
    <definedName name="MSGINVEST">#REF!</definedName>
    <definedName name="MSGNAMES" localSheetId="15">#REF!</definedName>
    <definedName name="MSGNAMES">#REF!</definedName>
    <definedName name="MSGPRINTG" localSheetId="15">#REF!</definedName>
    <definedName name="MSGPRINTG">#REF!</definedName>
    <definedName name="MSGTRANSFER" localSheetId="15">#REF!</definedName>
    <definedName name="MSGTRANSFER">#REF!</definedName>
    <definedName name="MWH" localSheetId="15">#REF!</definedName>
    <definedName name="MWH">#REF!</definedName>
    <definedName name="NAME" localSheetId="15">#REF!</definedName>
    <definedName name="NAME">#REF!</definedName>
    <definedName name="NAMES" localSheetId="15">#REF!</definedName>
    <definedName name="NAMES">#REF!</definedName>
    <definedName name="NOPRO" localSheetId="15">#REF!</definedName>
    <definedName name="NOPRO">#REF!</definedName>
    <definedName name="OA_CY" localSheetId="15">#REF!</definedName>
    <definedName name="OA_CY">#REF!</definedName>
    <definedName name="OAP" localSheetId="15">#REF!</definedName>
    <definedName name="OAP">#REF!</definedName>
    <definedName name="OAP_LAST" localSheetId="15">#REF!</definedName>
    <definedName name="OAP_LAST">#REF!</definedName>
    <definedName name="OAP0" localSheetId="15">#REF!</definedName>
    <definedName name="OAP0">#REF!</definedName>
    <definedName name="OAPACTUAL" localSheetId="15">#REF!</definedName>
    <definedName name="OAPACTUAL">#REF!</definedName>
    <definedName name="OAPC" localSheetId="15">#REF!</definedName>
    <definedName name="OAPC">#REF!</definedName>
    <definedName name="OAPDATA" localSheetId="15">#REF!</definedName>
    <definedName name="OAPDATA">#REF!</definedName>
    <definedName name="OAPTITLES" localSheetId="15">#REF!</definedName>
    <definedName name="OAPTITLES">#REF!</definedName>
    <definedName name="OAPUNO" localSheetId="15">#REF!</definedName>
    <definedName name="OAPUNO">#REF!</definedName>
    <definedName name="OATITLE" localSheetId="15">#REF!</definedName>
    <definedName name="OATITLE">#REF!</definedName>
    <definedName name="OAUNIT" localSheetId="15">#REF!</definedName>
    <definedName name="OAUNIT">#REF!</definedName>
    <definedName name="OPCFLAG" localSheetId="15">#REF!</definedName>
    <definedName name="OPCFLAG">#REF!</definedName>
    <definedName name="OPCION" localSheetId="15">#REF!</definedName>
    <definedName name="OPCION">#REF!</definedName>
    <definedName name="OPSELC" localSheetId="15">#REF!</definedName>
    <definedName name="OPSELC">#REF!</definedName>
    <definedName name="OUTPUT" localSheetId="15">#REF!</definedName>
    <definedName name="OUTPUT">#REF!</definedName>
    <definedName name="OUTPUTDE" localSheetId="15">#REF!</definedName>
    <definedName name="OUTPUTDE">#REF!</definedName>
    <definedName name="OUTPUTE" localSheetId="15">#REF!</definedName>
    <definedName name="OUTPUTE">#REF!</definedName>
    <definedName name="OUTPUTE_HEADER" localSheetId="15">#REF!</definedName>
    <definedName name="OUTPUTE_HEADER">#REF!</definedName>
    <definedName name="OUTPUTEBODY" localSheetId="15">#REF!</definedName>
    <definedName name="OUTPUTEBODY">#REF!</definedName>
    <definedName name="OUTPUTECOL" localSheetId="15">#REF!</definedName>
    <definedName name="OUTPUTECOL">#REF!</definedName>
    <definedName name="OUTPUTEHEAD" localSheetId="15">#REF!</definedName>
    <definedName name="OUTPUTEHEAD">#REF!</definedName>
    <definedName name="OUTPUTNOS" localSheetId="15">#REF!</definedName>
    <definedName name="OUTPUTNOS">#REF!</definedName>
    <definedName name="OUTPUTPR" localSheetId="15">#REF!</definedName>
    <definedName name="OUTPUTPR">#REF!</definedName>
    <definedName name="OUTPUTWS" localSheetId="15">#REF!</definedName>
    <definedName name="OUTPUTWS">#REF!</definedName>
    <definedName name="PANTALLA" localSheetId="15">#REF!</definedName>
    <definedName name="PANTALLA">#REF!</definedName>
    <definedName name="PAPEL" localSheetId="15">#REF!</definedName>
    <definedName name="PAPEL">#REF!</definedName>
    <definedName name="PFLAG" localSheetId="15">#REF!</definedName>
    <definedName name="PFLAG">#REF!</definedName>
    <definedName name="PGIC" localSheetId="15">#REF!</definedName>
    <definedName name="PGIC">#REF!</definedName>
    <definedName name="PREST" localSheetId="15">#REF!</definedName>
    <definedName name="PREST">#REF!</definedName>
    <definedName name="PRESTAMO" localSheetId="15">#REF!</definedName>
    <definedName name="PRESTAMO">#REF!</definedName>
    <definedName name="PRESTTOT" localSheetId="15">#REF!</definedName>
    <definedName name="PRESTTOT">#REF!</definedName>
    <definedName name="PRINTER" localSheetId="15">#REF!</definedName>
    <definedName name="PRINTER">#REF!</definedName>
    <definedName name="PRODUC2" localSheetId="15">#REF!</definedName>
    <definedName name="PRODUC2">#REF!</definedName>
    <definedName name="PRODUC3" localSheetId="15">#REF!</definedName>
    <definedName name="PRODUC3">#REF!</definedName>
    <definedName name="PRODUC4" localSheetId="15">#REF!</definedName>
    <definedName name="PRODUC4">#REF!</definedName>
    <definedName name="PTOEF" localSheetId="15">#REF!</definedName>
    <definedName name="PTOEF">#REF!</definedName>
    <definedName name="PTOER" localSheetId="15">#REF!</definedName>
    <definedName name="PTOER">#REF!</definedName>
    <definedName name="RANGES" localSheetId="15">#REF!</definedName>
    <definedName name="RANGES">#REF!</definedName>
    <definedName name="RATIOS" localSheetId="15">#REF!</definedName>
    <definedName name="RATIOS">#REF!</definedName>
    <definedName name="RCC" localSheetId="15">#REF!</definedName>
    <definedName name="RCC">#REF!</definedName>
    <definedName name="RCCOBR" localSheetId="15">#REF!</definedName>
    <definedName name="RCCOBR">#REF!</definedName>
    <definedName name="rd" localSheetId="15">#REF!</definedName>
    <definedName name="rd">#REF!</definedName>
    <definedName name="rdn" localSheetId="5">'[1]Hidrometeorología'!$D$14</definedName>
    <definedName name="rdn" localSheetId="15">'[2]Hidrometeorología'!$D$14</definedName>
    <definedName name="rdn">'[1]Hidrometeorología'!$D$14</definedName>
    <definedName name="rdx" localSheetId="5">'[1]Hidrometeorología'!$D$14</definedName>
    <definedName name="rdx" localSheetId="15">'[2]Hidrometeorología'!$D$14</definedName>
    <definedName name="rdx">'[1]Hidrometeorología'!$D$14</definedName>
    <definedName name="re" localSheetId="15">#REF!</definedName>
    <definedName name="re">#REF!</definedName>
    <definedName name="RENTA" localSheetId="15">#REF!</definedName>
    <definedName name="RENTA">#REF!</definedName>
    <definedName name="RENTAL" localSheetId="15">#REF!</definedName>
    <definedName name="RENTAL">#REF!</definedName>
    <definedName name="REPO" localSheetId="15">#REF!</definedName>
    <definedName name="REPO">#REF!</definedName>
    <definedName name="REPOCALC" localSheetId="15">#REF!</definedName>
    <definedName name="REPOCALC">#REF!</definedName>
    <definedName name="REPOPRO" localSheetId="15">#REF!</definedName>
    <definedName name="REPOPRO">#REF!</definedName>
    <definedName name="REPSUB" localSheetId="15">#REF!</definedName>
    <definedName name="REPSUB">#REF!</definedName>
    <definedName name="REPSUBWYS" localSheetId="15">#REF!</definedName>
    <definedName name="REPSUBWYS">#REF!</definedName>
    <definedName name="RESUMEN" localSheetId="15">#REF!</definedName>
    <definedName name="RESUMEN">#REF!</definedName>
    <definedName name="rf" localSheetId="15">#REF!</definedName>
    <definedName name="rf">#REF!</definedName>
    <definedName name="RF_CY" localSheetId="15">#REF!</definedName>
    <definedName name="RF_CY">#REF!</definedName>
    <definedName name="RFP" localSheetId="15">#REF!</definedName>
    <definedName name="RFP">#REF!</definedName>
    <definedName name="RFPACTUAL" localSheetId="15">#REF!</definedName>
    <definedName name="RFPACTUAL">#REF!</definedName>
    <definedName name="RFPC" localSheetId="15">#REF!</definedName>
    <definedName name="RFPC">#REF!</definedName>
    <definedName name="RFPDATA" localSheetId="15">#REF!</definedName>
    <definedName name="RFPDATA">#REF!</definedName>
    <definedName name="RFPTITLES" localSheetId="15">#REF!</definedName>
    <definedName name="RFPTITLES">#REF!</definedName>
    <definedName name="RFTITLE" localSheetId="15">#REF!</definedName>
    <definedName name="RFTITLE">#REF!</definedName>
    <definedName name="RFUNIT" localSheetId="15">#REF!</definedName>
    <definedName name="RFUNIT">#REF!</definedName>
    <definedName name="rm_rf" localSheetId="15">#REF!</definedName>
    <definedName name="rm_rf">#REF!</definedName>
    <definedName name="rp" localSheetId="15">#REF!</definedName>
    <definedName name="rp">#REF!</definedName>
    <definedName name="RPTSFOOTER" localSheetId="15">#REF!</definedName>
    <definedName name="RPTSFOOTER">#REF!</definedName>
    <definedName name="RPTSHEADER" localSheetId="15">#REF!</definedName>
    <definedName name="RPTSHEADER">#REF!</definedName>
    <definedName name="rrd" localSheetId="5">'[3]RRT'!$D$14</definedName>
    <definedName name="rrd" localSheetId="15">'[4]RRT'!$D$14</definedName>
    <definedName name="rrd">'[3]RRT'!$D$14</definedName>
    <definedName name="RRT" localSheetId="14">'FA'!#REF!</definedName>
    <definedName name="RRT" localSheetId="15">#REF!</definedName>
    <definedName name="RRT">#REF!</definedName>
    <definedName name="RRTg" localSheetId="13">'IMP'!$D$10</definedName>
    <definedName name="RRTg">'IMP'!$D$10</definedName>
    <definedName name="SCREEN" localSheetId="15">#REF!</definedName>
    <definedName name="SCREEN">#REF!</definedName>
    <definedName name="Sd" localSheetId="15">#REF!</definedName>
    <definedName name="Sd">#REF!</definedName>
    <definedName name="SE0" localSheetId="15">#REF!</definedName>
    <definedName name="SE0">#REF!</definedName>
    <definedName name="SENOP" localSheetId="15">#REF!</definedName>
    <definedName name="SENOP">#REF!</definedName>
    <definedName name="SENPRI" localSheetId="15">#REF!</definedName>
    <definedName name="SENPRI">#REF!</definedName>
    <definedName name="SENSITIVITY" localSheetId="15">#REF!</definedName>
    <definedName name="SENSITIVITY">#REF!</definedName>
    <definedName name="SENSTA" localSheetId="15">#REF!</definedName>
    <definedName name="SENSTA">#REF!</definedName>
    <definedName name="SENT" localSheetId="15">#REF!</definedName>
    <definedName name="SENT">#REF!</definedName>
    <definedName name="SENUNI" localSheetId="15">#REF!</definedName>
    <definedName name="SENUNI">#REF!</definedName>
    <definedName name="SER" localSheetId="15">#REF!</definedName>
    <definedName name="SER">#REF!</definedName>
    <definedName name="SOURCE_APPL" localSheetId="15">#REF!</definedName>
    <definedName name="SOURCE_APPL">#REF!</definedName>
    <definedName name="STAMP" localSheetId="15">#REF!</definedName>
    <definedName name="STAMP">#REF!</definedName>
    <definedName name="START" localSheetId="15">#REF!</definedName>
    <definedName name="START">#REF!</definedName>
    <definedName name="SUMARIA" localSheetId="15">#REF!</definedName>
    <definedName name="SUMARIA">#REF!</definedName>
    <definedName name="SUPUESTOS" localSheetId="15">#REF!</definedName>
    <definedName name="SUPUESTOS">#REF!</definedName>
    <definedName name="t" localSheetId="15">#REF!</definedName>
    <definedName name="t">#REF!</definedName>
    <definedName name="TASA" localSheetId="15">#REF!</definedName>
    <definedName name="TASA">#REF!</definedName>
    <definedName name="TASAI" localSheetId="15">#REF!</definedName>
    <definedName name="TASAI">#REF!</definedName>
    <definedName name="TASATOT" localSheetId="15">#REF!</definedName>
    <definedName name="TASATOT">#REF!</definedName>
    <definedName name="TIPO" localSheetId="15">#REF!</definedName>
    <definedName name="TIPO">#REF!</definedName>
    <definedName name="TITLE" localSheetId="15">#REF!</definedName>
    <definedName name="TITLE">#REF!</definedName>
    <definedName name="TITLEENG" localSheetId="15">#REF!</definedName>
    <definedName name="TITLEENG">#REF!</definedName>
    <definedName name="TITLES" localSheetId="15">#REF!</definedName>
    <definedName name="TITLES">#REF!</definedName>
    <definedName name="TITLESPAN" localSheetId="15">#REF!</definedName>
    <definedName name="TITLESPAN">#REF!</definedName>
    <definedName name="TRAF" localSheetId="15">#REF!</definedName>
    <definedName name="TRAF">#REF!</definedName>
    <definedName name="TSFR1" localSheetId="15">#REF!</definedName>
    <definedName name="TSFR1">#REF!</definedName>
    <definedName name="TSFR2" localSheetId="15">#REF!</definedName>
    <definedName name="TSFR2">#REF!</definedName>
    <definedName name="TSFR3" localSheetId="15">#REF!</definedName>
    <definedName name="TSFR3">#REF!</definedName>
    <definedName name="UNDERLINE" localSheetId="15">#REF!</definedName>
    <definedName name="UNDERLINE">#REF!</definedName>
    <definedName name="UNFREEZE" localSheetId="15">#REF!</definedName>
    <definedName name="UNFREEZE">#REF!</definedName>
    <definedName name="UNITS" localSheetId="15">#REF!</definedName>
    <definedName name="UNITS">#REF!</definedName>
    <definedName name="vvvv" localSheetId="15">'[1]IMP'!$D$14</definedName>
    <definedName name="vvvv">'[5]IMP'!$D$14</definedName>
    <definedName name="WACCna" localSheetId="15">#REF!</definedName>
    <definedName name="WACCna">#REF!</definedName>
    <definedName name="WACCnd" localSheetId="15">#REF!</definedName>
    <definedName name="WACCnd">#REF!</definedName>
    <definedName name="WACCr" localSheetId="15">#REF!</definedName>
    <definedName name="WACCr">#REF!</definedName>
    <definedName name="WACCra" localSheetId="15">#REF!</definedName>
    <definedName name="WACCra">#REF!</definedName>
    <definedName name="WH" localSheetId="15">#REF!</definedName>
    <definedName name="WH">#REF!</definedName>
    <definedName name="WHC" localSheetId="15">#REF!</definedName>
    <definedName name="WHC">#REF!</definedName>
    <definedName name="WHCO" localSheetId="15">#REF!</definedName>
    <definedName name="WHCO">#REF!</definedName>
    <definedName name="WHCR" localSheetId="15">#REF!</definedName>
    <definedName name="WHCR">#REF!</definedName>
    <definedName name="WHCS" localSheetId="15">#REF!</definedName>
    <definedName name="WHCS">#REF!</definedName>
    <definedName name="WHG" localSheetId="15">#REF!</definedName>
    <definedName name="WHG">#REF!</definedName>
    <definedName name="WHH" localSheetId="15">#REF!</definedName>
    <definedName name="WHH">#REF!</definedName>
    <definedName name="WORKSHEET" localSheetId="15">#REF!</definedName>
    <definedName name="WORKSHEET">#REF!</definedName>
    <definedName name="WP" localSheetId="15">#REF!</definedName>
    <definedName name="WP">#REF!</definedName>
    <definedName name="WPC" localSheetId="15">#REF!</definedName>
    <definedName name="WPC">#REF!</definedName>
    <definedName name="WPG" localSheetId="15">#REF!</definedName>
    <definedName name="WPG">#REF!</definedName>
    <definedName name="WPH" localSheetId="15">#REF!</definedName>
    <definedName name="WPH">#REF!</definedName>
    <definedName name="WSANO0PR" localSheetId="15">#REF!</definedName>
    <definedName name="WSANO0PR">#REF!</definedName>
    <definedName name="WSANO0S" localSheetId="15">#REF!</definedName>
    <definedName name="WSANO0S">#REF!</definedName>
    <definedName name="WSGRID" localSheetId="15">#REF!</definedName>
    <definedName name="WSGRID">#REF!</definedName>
    <definedName name="WSGRID0" localSheetId="15">#REF!</definedName>
    <definedName name="WSGRID0">#REF!</definedName>
    <definedName name="WSGRID10" localSheetId="15">#REF!</definedName>
    <definedName name="WSGRID10">#REF!</definedName>
    <definedName name="WSPRINT" localSheetId="15">#REF!</definedName>
    <definedName name="WSPRINT">#REF!</definedName>
    <definedName name="_xlnm.Print_Titles" localSheetId="0">'Resumen'!$2:$5</definedName>
    <definedName name="_xlnm.Print_Titles" localSheetId="1">'CX cxj Año1 '!$3:$8</definedName>
    <definedName name="_xlnm.Print_Titles" localSheetId="5">'CX cxj  expansión condicion'!$3:$6</definedName>
    <definedName name="_xlnm.Print_Titles" localSheetId="10">'VERIFICACIÓN DE INGRESOS'!$7:$8</definedName>
    <definedName name="_xlnm.Print_Titles" localSheetId="14">'FA'!$1:$5</definedName>
  </definedNames>
  <calcPr calcId="125725"/>
</workbook>
</file>

<file path=xl/comments10.xml><?xml version="1.0" encoding="utf-8"?>
<comments xmlns="http://schemas.openxmlformats.org/spreadsheetml/2006/main">
  <authors>
    <author>dpereira</author>
  </authors>
  <commentList>
    <comment ref="D4" authorId="0">
      <text>
        <r>
          <rPr>
            <b/>
            <sz val="9"/>
            <rFont val="Tahoma"/>
            <family val="2"/>
          </rPr>
          <t>dpereira:</t>
        </r>
        <r>
          <rPr>
            <sz val="9"/>
            <rFont val="Tahoma"/>
            <family val="2"/>
          </rPr>
          <t xml:space="preserve">
Esto es patio de 230 KV según ASEP</t>
        </r>
      </text>
    </comment>
  </commentList>
</comments>
</file>

<file path=xl/comments14.xml><?xml version="1.0" encoding="utf-8"?>
<comments xmlns="http://schemas.openxmlformats.org/spreadsheetml/2006/main">
  <authors>
    <author>eperez</author>
  </authors>
  <commentList>
    <comment ref="A14" authorId="0">
      <text>
        <r>
          <rPr>
            <b/>
            <sz val="9"/>
            <rFont val="Tahoma"/>
            <family val="2"/>
          </rPr>
          <t>eperez:</t>
        </r>
        <r>
          <rPr>
            <sz val="9"/>
            <rFont val="Tahoma"/>
            <family val="2"/>
          </rPr>
          <t xml:space="preserve">
DEPRECIACIÓN DE CONEXIÓN
</t>
        </r>
      </text>
    </comment>
    <comment ref="E64" authorId="0">
      <text>
        <r>
          <rPr>
            <b/>
            <sz val="9"/>
            <rFont val="Tahoma"/>
            <family val="2"/>
          </rPr>
          <t>eperez:</t>
        </r>
        <r>
          <rPr>
            <sz val="9"/>
            <rFont val="Tahoma"/>
            <family val="2"/>
          </rPr>
          <t xml:space="preserve">
DEPRECIACIÓN DE CONEXIÓN
</t>
        </r>
      </text>
    </comment>
  </commentList>
</comments>
</file>

<file path=xl/sharedStrings.xml><?xml version="1.0" encoding="utf-8"?>
<sst xmlns="http://schemas.openxmlformats.org/spreadsheetml/2006/main" count="1027" uniqueCount="321">
  <si>
    <t>EQUIPAMIENTO</t>
  </si>
  <si>
    <t>VNR TOTAL</t>
  </si>
  <si>
    <t>MVA</t>
  </si>
  <si>
    <t>Salidas de Conexión</t>
  </si>
  <si>
    <t>Transformadores</t>
  </si>
  <si>
    <t>CXTR Reductor 42/56/70 MVA</t>
  </si>
  <si>
    <t>CXTR Reductor 30/40/50 MVA</t>
  </si>
  <si>
    <t>CXTR Reductor 20/24 MVA</t>
  </si>
  <si>
    <t>Líneas</t>
  </si>
  <si>
    <t>Unidad</t>
  </si>
  <si>
    <t>km</t>
  </si>
  <si>
    <t xml:space="preserve"> </t>
  </si>
  <si>
    <t>TOTAL</t>
  </si>
  <si>
    <t>EMPRESA DE TRANSMISION ELECTRICA, S.A.</t>
  </si>
  <si>
    <t>CARGOS POR CONEXIÓN :  DATOS BASICOS</t>
  </si>
  <si>
    <t>PARAMETROS DE EFICIENCIA</t>
  </si>
  <si>
    <t>PARAMETRO</t>
  </si>
  <si>
    <t>UNIDAD</t>
  </si>
  <si>
    <t>OMT</t>
  </si>
  <si>
    <t>%</t>
  </si>
  <si>
    <t>ADMT</t>
  </si>
  <si>
    <t>RRT</t>
  </si>
  <si>
    <t>DEP</t>
  </si>
  <si>
    <t xml:space="preserve">CARGOS POR CONEXIÓN </t>
  </si>
  <si>
    <t>TIPO DE ACTIVO</t>
  </si>
  <si>
    <t>CX cxj, por equipamiento típico de conexión</t>
  </si>
  <si>
    <t>(1) Todas las líneas de 115 kV Circuito sencillo son de conductor 636 ACSR.</t>
  </si>
  <si>
    <t>(1)</t>
  </si>
  <si>
    <t>(2)</t>
  </si>
  <si>
    <t>(3)</t>
  </si>
  <si>
    <t>(5)</t>
  </si>
  <si>
    <t>Número de instalaciones</t>
  </si>
  <si>
    <t>DETALLE</t>
  </si>
  <si>
    <t>CHORRERA</t>
  </si>
  <si>
    <t>LLANO SANCHEZ</t>
  </si>
  <si>
    <t>MATA DE NANCE</t>
  </si>
  <si>
    <t>PROGRESO</t>
  </si>
  <si>
    <t xml:space="preserve">CHARCO AZUL </t>
  </si>
  <si>
    <t>TOTALES</t>
  </si>
  <si>
    <t>salida</t>
  </si>
  <si>
    <t>Caldera - La Estrella</t>
  </si>
  <si>
    <t>Caldera - Los Valles</t>
  </si>
  <si>
    <t>Caldera - Pja.Sombrero</t>
  </si>
  <si>
    <t>Progreso - Charco Azul</t>
  </si>
  <si>
    <t>VNR</t>
  </si>
  <si>
    <t>Costo Total</t>
  </si>
  <si>
    <t>Costo por Unidad</t>
  </si>
  <si>
    <t>Llano Sánchez Transformador</t>
  </si>
  <si>
    <t>Llano Sánchez 115</t>
  </si>
  <si>
    <t>Llano Sánchez  34.5</t>
  </si>
  <si>
    <t>Progreso 115</t>
  </si>
  <si>
    <t>Progreso 34.5</t>
  </si>
  <si>
    <t>Charco Azul 115</t>
  </si>
  <si>
    <t>Charco Azul Transformador</t>
  </si>
  <si>
    <t>Mata de Nance 34.5</t>
  </si>
  <si>
    <t>Chorrera 34.5</t>
  </si>
  <si>
    <t>Chorrera 230</t>
  </si>
  <si>
    <t>Chorrera Transformador</t>
  </si>
  <si>
    <t>Para trasformadores</t>
  </si>
  <si>
    <t>Costo por MVA</t>
  </si>
  <si>
    <t>Para Patios de 230</t>
  </si>
  <si>
    <t>Salida</t>
  </si>
  <si>
    <t>Costo por Salida</t>
  </si>
  <si>
    <t>Esquema</t>
  </si>
  <si>
    <t>IP 1/2 con 3 IP</t>
  </si>
  <si>
    <t>Para Patios de 115</t>
  </si>
  <si>
    <t>IP 1/2 con 6 IP</t>
  </si>
  <si>
    <t>Barra Sencilla</t>
  </si>
  <si>
    <t xml:space="preserve">Barra Sencilla </t>
  </si>
  <si>
    <t>Para Patios de 34.5</t>
  </si>
  <si>
    <t>IP 1/2 con 5 IP</t>
  </si>
  <si>
    <t>IP 1/2 con 9 IP</t>
  </si>
  <si>
    <t>Observación</t>
  </si>
  <si>
    <t>Miles B/./Salida</t>
  </si>
  <si>
    <t>Cada salida utiliza 1 IP</t>
  </si>
  <si>
    <t>Cantidad</t>
  </si>
  <si>
    <t>Administración</t>
  </si>
  <si>
    <t>VNR UNITARIO PROMEDIO Miles B/.</t>
  </si>
  <si>
    <t>EMPRESA DE TRANSMISIÓN ELÉCTRICA S.A.</t>
  </si>
  <si>
    <t>PARA EL PERIODO TARIFARIO</t>
  </si>
  <si>
    <t>PARAMETROS</t>
  </si>
  <si>
    <t>ACTIVOS RECONOCIDOS (al final del año)</t>
  </si>
  <si>
    <t>ACTCT(Conexión)</t>
  </si>
  <si>
    <t>B/.MILES</t>
  </si>
  <si>
    <t>ACTNTC( Neto Conexión)</t>
  </si>
  <si>
    <t>ACTIVOS EFICIENTES (al final del año)</t>
  </si>
  <si>
    <t>ACTCTef (Conexión)</t>
  </si>
  <si>
    <t>ACTIVOS INCORPORADOS PARCIALMENTE</t>
  </si>
  <si>
    <t xml:space="preserve"> INGRESOS MÁXIMOS PERMITIDOS</t>
  </si>
  <si>
    <t>CONEXIÓN</t>
  </si>
  <si>
    <t>Operación y Mantenimiento</t>
  </si>
  <si>
    <t>Depreciación</t>
  </si>
  <si>
    <t>Rentabilidad sobre Activos</t>
  </si>
  <si>
    <t xml:space="preserve">FACTOR DE ACTUALIZACIÓN </t>
  </si>
  <si>
    <t xml:space="preserve">Valor Presente IMP (2) </t>
  </si>
  <si>
    <t>VPN(2)</t>
  </si>
  <si>
    <r>
      <t xml:space="preserve">INGRESO ANUAL </t>
    </r>
    <r>
      <rPr>
        <b/>
        <sz val="8"/>
        <rFont val="Arial"/>
        <family val="2"/>
      </rPr>
      <t>(AÑO TARIFARIO)(1)</t>
    </r>
  </si>
  <si>
    <r>
      <t>(1)</t>
    </r>
    <r>
      <rPr>
        <sz val="9"/>
        <rFont val="Arial"/>
        <family val="2"/>
      </rPr>
      <t xml:space="preserve">  El Año Tarifario comprende del 1º de julio al 30 de junio del año siguiente</t>
    </r>
  </si>
  <si>
    <t>CARGOS POR CONEXIÓN :  COEFICIENTE DE ADAPTACION (FA)</t>
  </si>
  <si>
    <t xml:space="preserve"> ASOCIADO AL VALOR HISTORICO</t>
  </si>
  <si>
    <t>Miles de B/.</t>
  </si>
  <si>
    <t>Años Tarifarios</t>
  </si>
  <si>
    <t>VP del IPCT</t>
  </si>
  <si>
    <t xml:space="preserve">Valor Presente(2) </t>
  </si>
  <si>
    <t>VP IPCT vnr</t>
  </si>
  <si>
    <t>FA = VP del IPCT / VP del IPCTvnr</t>
  </si>
  <si>
    <t>(2)  Referido al 1º de julio de 2005</t>
  </si>
  <si>
    <t>INGRESO MÁXIMO PERMITIDO POR CARGOS DE CONEXIÓN -VNR</t>
  </si>
  <si>
    <t>INGRESO MÁXIMO PERMITIDO POR ACTIVOS DE CONEXIÓN EXISTENTES</t>
  </si>
  <si>
    <t>(Miles de Balboas)</t>
  </si>
  <si>
    <t>(Miles de Balboas )</t>
  </si>
  <si>
    <t>FA =</t>
  </si>
  <si>
    <t xml:space="preserve">VNR DE PATIOS DE CONEXIÓN, POR NIVEL DE VOLTAJE Y CAPACIDAD DE TRANSMFORMACIÓN </t>
  </si>
  <si>
    <t>RRTef cxj</t>
  </si>
  <si>
    <t>QUE SE INCORPORAN</t>
  </si>
  <si>
    <t>1) PARA INSTALACIONES QUE SE INCORPORAN</t>
  </si>
  <si>
    <t>2) PARA INSTALACIONES CONSIDERADAS EN LOS CÁLCULOS TARIFARIOS</t>
  </si>
  <si>
    <t>(Balboas)</t>
  </si>
  <si>
    <t>VNR - ERSP</t>
  </si>
  <si>
    <t>Transformador</t>
  </si>
  <si>
    <t>salidas</t>
  </si>
  <si>
    <t>EQUIPO</t>
  </si>
  <si>
    <t>INGRESO</t>
  </si>
  <si>
    <t>AÑO 1</t>
  </si>
  <si>
    <t>AÑO 2</t>
  </si>
  <si>
    <t>AÑO 3</t>
  </si>
  <si>
    <t>AÑO 4</t>
  </si>
  <si>
    <t xml:space="preserve">TOTAL: VNR </t>
  </si>
  <si>
    <t xml:space="preserve">TOTAL </t>
  </si>
  <si>
    <t>VERIFICACIÓN DE INGRESOS</t>
  </si>
  <si>
    <t>(Miles de Babloas)</t>
  </si>
  <si>
    <t>VNR UNITARIO PROMEDIO</t>
  </si>
  <si>
    <t>ACTSPTef (Sistema Principal)</t>
  </si>
  <si>
    <t xml:space="preserve">PARÁMETROS Y VALORES UTILIZADOS EN EL CÁLCULO DE LOS INGRESOS MÁXIMOS  PERMITIDOS </t>
  </si>
  <si>
    <t>(Miles de Balboas de Diciembre de 2008)</t>
  </si>
  <si>
    <t>SERVICIO DE OPERACIÓN INTEGRADA</t>
  </si>
  <si>
    <t>Hidrometeorología</t>
  </si>
  <si>
    <t>CÁLCULO DEL VPN DEL INGRESO PERMITIDO PARA EL PERIODO TARIFARIO</t>
  </si>
  <si>
    <t>RESUMEN</t>
  </si>
  <si>
    <t>2009-2010</t>
  </si>
  <si>
    <t>2010-2011</t>
  </si>
  <si>
    <t>2011-2012</t>
  </si>
  <si>
    <t>2012-2013</t>
  </si>
  <si>
    <t>2013-2014</t>
  </si>
  <si>
    <t>230kV</t>
  </si>
  <si>
    <t>115kV</t>
  </si>
  <si>
    <t>Centro Nacional de Despacho</t>
  </si>
  <si>
    <t>(2)  Referido al 1º de julio de 2009</t>
  </si>
  <si>
    <t>CXS34.5 Barra Sencilla</t>
  </si>
  <si>
    <t>CXS34.5 Interruptor y Medio</t>
  </si>
  <si>
    <t>CXS115 Barra Sencilla</t>
  </si>
  <si>
    <t>CXS115 Interruptor y Medio</t>
  </si>
  <si>
    <t>CXS230 Interruptor y Medio</t>
  </si>
  <si>
    <t>CXL 115 KV Circuito Sencillo</t>
  </si>
  <si>
    <t>CXL 115 KV Doble Circuito</t>
  </si>
  <si>
    <t>CXL 230 KV Circuito Sencillo 750 ACAR</t>
  </si>
  <si>
    <t>CARGOS POR CONEXIÓN</t>
  </si>
  <si>
    <t>EMPRESA DE TRANSMISIÓN ELÉCTRICA, S.A.</t>
  </si>
  <si>
    <t>CARGOS DE CONEXIÓN</t>
  </si>
  <si>
    <t>Miles B/./MVA</t>
  </si>
  <si>
    <t>CXS115 Interruptor y 1/2 con 1IP</t>
  </si>
  <si>
    <t>CXS230 Barras Sencillas</t>
  </si>
  <si>
    <t>CXL 230 KV Doble Circuito 750 ACAR</t>
  </si>
  <si>
    <t>CXL 230 KV Doble Circuito 1200 ACAR</t>
  </si>
  <si>
    <t>Changuinola 34.5</t>
  </si>
  <si>
    <t>Barra sencilla con 2 IP</t>
  </si>
  <si>
    <t>Changuinola</t>
  </si>
  <si>
    <t>CXTR Reductor 60/80/100 MVA</t>
  </si>
  <si>
    <t>Considera las incorporaciones parciales</t>
  </si>
  <si>
    <t>INCORPORACION PARCIAL</t>
  </si>
  <si>
    <t>Incorporaciones del periodo</t>
  </si>
  <si>
    <t>115 - 17</t>
  </si>
  <si>
    <t>115 - 18</t>
  </si>
  <si>
    <t>Caldera - Paja de Sombrero</t>
  </si>
  <si>
    <t>115 - 19</t>
  </si>
  <si>
    <t>115 - 25</t>
  </si>
  <si>
    <t>Lineas</t>
  </si>
  <si>
    <t>N° del Circuito</t>
  </si>
  <si>
    <t>Longitud (km)</t>
  </si>
  <si>
    <t>N° Total de Torres</t>
  </si>
  <si>
    <t>Costo por kM</t>
  </si>
  <si>
    <t>No se utilizan en este cálculo</t>
  </si>
  <si>
    <t xml:space="preserve">    Difrencia en porcentaje</t>
  </si>
  <si>
    <t>INGRESO ANUAL (Año Calendario)</t>
  </si>
  <si>
    <t>(1)  El Año Tarifario comprende del 1º de julio al 30 de junio del año siguiente</t>
  </si>
  <si>
    <t>Miles B/.Salida</t>
  </si>
  <si>
    <t>SALIDAS DE CONEXIÓN, CON ESQUEMA DE INTERRUPTOR  y 1/2 (a)</t>
  </si>
  <si>
    <t>1 IP - 230  KV</t>
  </si>
  <si>
    <t>2 IP - 230   KV</t>
  </si>
  <si>
    <t>1 IP - 115  KV</t>
  </si>
  <si>
    <t>2 IP - 115  KV</t>
  </si>
  <si>
    <t>1 IP - 34.5  KV</t>
  </si>
  <si>
    <t>2 IP - 34.5  KV</t>
  </si>
  <si>
    <t>LÍNEAS</t>
  </si>
  <si>
    <t>CXL230 KV Cto.Sencillo/torres Doble (1)</t>
  </si>
  <si>
    <t>(a)  Esquema de conexión de interruptor y medio, con adición de uno o dos interruptores debido a la configuración de la subestaciones existentes.</t>
  </si>
  <si>
    <t>PARA INSTALACIONES DE EXPANSIÓN CONDICIONADAS</t>
  </si>
  <si>
    <t>Salida de conexión, con esquema de interruptor y 1/2 (a)</t>
  </si>
  <si>
    <t>N/A</t>
  </si>
  <si>
    <t>VALOR NUEVO DE REPOSICIÓN TIPIFICADO (Ajustado de acuerdo a costos eficientes de ASEP.)</t>
  </si>
  <si>
    <t>CONSIDERADAS (1)</t>
  </si>
  <si>
    <r>
      <t>OMTCT</t>
    </r>
    <r>
      <rPr>
        <b/>
        <vertAlign val="subscript"/>
        <sz val="10"/>
        <color indexed="9"/>
        <rFont val="Arial"/>
        <family val="2"/>
      </rPr>
      <t>cxj</t>
    </r>
  </si>
  <si>
    <r>
      <t xml:space="preserve">ADMCT </t>
    </r>
    <r>
      <rPr>
        <b/>
        <vertAlign val="subscript"/>
        <sz val="10"/>
        <color indexed="9"/>
        <rFont val="Arial"/>
        <family val="2"/>
      </rPr>
      <t>cxj</t>
    </r>
  </si>
  <si>
    <r>
      <t xml:space="preserve">DEPef </t>
    </r>
    <r>
      <rPr>
        <b/>
        <vertAlign val="subscript"/>
        <sz val="10"/>
        <color indexed="9"/>
        <rFont val="Arial"/>
        <family val="2"/>
      </rPr>
      <t>cxj</t>
    </r>
  </si>
  <si>
    <t>CXL 230 KV Circuito Doble 750 ACAR</t>
  </si>
  <si>
    <t>CXL 115 KV Circuito Sencillo 636 ACSR</t>
  </si>
  <si>
    <t>Miles B/./km</t>
  </si>
  <si>
    <t>CXL 230 KV Circuito Doble 1200 ACAR</t>
  </si>
  <si>
    <t>CXL 230 KV  Circuito  Sencillo 1200 ACAR</t>
  </si>
  <si>
    <t>CXL 115 KV  Circuito Doble  636 ACSR</t>
  </si>
  <si>
    <t>Cuadro No.1</t>
  </si>
  <si>
    <t>CARGOS ANUALES POR CONEXIÓN</t>
  </si>
  <si>
    <t xml:space="preserve">       debido a la configuración de la subestaciones existentes.</t>
  </si>
  <si>
    <t>(a)  Esquema de conexión de interruptor y medio, con adición de uno o dos interruptores</t>
  </si>
  <si>
    <t>Valor Presente de Ingresos resultantes de aplicaciónd de Cargos</t>
  </si>
  <si>
    <t>Factor de Actualización</t>
  </si>
  <si>
    <t>Conexión</t>
  </si>
  <si>
    <t>ETESA</t>
  </si>
  <si>
    <t>Circuito Sencillo</t>
  </si>
  <si>
    <t>Lineas de 115 kV</t>
  </si>
  <si>
    <t>Total - Conexión</t>
  </si>
  <si>
    <t>DATOS DE IMP</t>
  </si>
  <si>
    <t>CX cxj, por equipamiento de conexión de expansión condicionada</t>
  </si>
  <si>
    <t>1) PARA INSTALACIONES QUE SE INCORPORAN:</t>
  </si>
  <si>
    <t>VNR unitario</t>
  </si>
  <si>
    <t>COSTOS RECONOCIDOS</t>
  </si>
  <si>
    <t>CARGO POR CONEXIÓN</t>
  </si>
  <si>
    <t>PARÁMETROS DE EFICIENCIA</t>
  </si>
  <si>
    <t>Miles B/./ km</t>
  </si>
  <si>
    <t>(1)  Línea de 230 KV conductor 1200 ACAR, un solo circuito en torres de doble circuito.</t>
  </si>
  <si>
    <t>(6)</t>
  </si>
  <si>
    <t>AL SISTEMA PRINCIPAL DE TRANSMISIÓN</t>
  </si>
  <si>
    <t>VNR Total</t>
  </si>
  <si>
    <t>Changuinola 115</t>
  </si>
  <si>
    <t>VNR ASEP</t>
  </si>
  <si>
    <t>VNR ASEP ajustado para el calculo de Conexión</t>
  </si>
  <si>
    <t>IP 1/2 con 8 IP</t>
  </si>
  <si>
    <t>(2) El costo típico para las líneas de 115 kV Doble Circuito con de conductor 636 ACSR.</t>
  </si>
  <si>
    <t>(3) Representa el costo típico para líneas de 230 kV Circuito Sencillo con conductor 750 ACAR.</t>
  </si>
  <si>
    <t>(4) Representa el costo típico para líneas de 230 kV Doble Circuito con conductor 750 ACAR.</t>
  </si>
  <si>
    <t>(5) Representa el costo típico para líneas de 230 kV Doble Circuito con conductor 1200 ACAR.</t>
  </si>
  <si>
    <t>(4)</t>
  </si>
  <si>
    <t>(6) Representa el costo típico para líneas de 230 kV Circuito Semcillo con conductor 1200 ACAR.</t>
  </si>
  <si>
    <t xml:space="preserve">       ASEP no proporcionó en el VNR los valores para Instalaciones de Expansión Condicionadas,</t>
  </si>
  <si>
    <t>N/A: No aplica</t>
  </si>
  <si>
    <t>2014-2015</t>
  </si>
  <si>
    <t>2015-2016</t>
  </si>
  <si>
    <t>2016-2017</t>
  </si>
  <si>
    <t>ACTSPT (Sistema Principal) +PG</t>
  </si>
  <si>
    <t>ACTH (Hidro. Remanente)</t>
  </si>
  <si>
    <t>ACTNSPT(Neto Sistema Principal) + PG</t>
  </si>
  <si>
    <t>ACTNH (Neto Hidro. Remanente)</t>
  </si>
  <si>
    <t>ACTIVOS EFICIENTES (al final del año - VNR)</t>
  </si>
  <si>
    <t>ACTSPTef3L(Tercera Línea)</t>
  </si>
  <si>
    <t>EQUIPAMIENTO PRINCIPAL</t>
  </si>
  <si>
    <t>Generación Obligada</t>
  </si>
  <si>
    <t>EQUIPAMIENTO ASOCIADO TOTALMENTE A  LA DEMANDA</t>
  </si>
  <si>
    <t>Leasing Tercera Línea</t>
  </si>
  <si>
    <t>(Miles de Balboas de Dic 2012)</t>
  </si>
  <si>
    <t xml:space="preserve">Centro Nacional de Despacho </t>
  </si>
  <si>
    <t>INGRESO ANUAL (Año Tarifario)(1)</t>
  </si>
  <si>
    <t>2017-2018</t>
  </si>
  <si>
    <t xml:space="preserve">Valor Presente Neto del IMP (2) </t>
  </si>
  <si>
    <t xml:space="preserve">230 kV </t>
  </si>
  <si>
    <t>1 JUL 2013    /   30 JUN 2017</t>
  </si>
  <si>
    <t xml:space="preserve">       por lo que se estan utilizando los valores unitarios del Plan de Expansión 2013 para 115 y 230 KV.. </t>
  </si>
  <si>
    <t xml:space="preserve">       Para 34.5 KV se utilizan lso valores del Pliego Tarifario 2009 - 2013.</t>
  </si>
  <si>
    <t>Adición S/E El Higo (Las Guias)</t>
  </si>
  <si>
    <t>Adicion T3 Llano Sánchez</t>
  </si>
  <si>
    <t xml:space="preserve">Adicion T3 Chorrera </t>
  </si>
  <si>
    <t>CXS230 Interruptor y Medio El Higo</t>
  </si>
  <si>
    <t>CXS230 Interruptor y Medio Seccionamiento</t>
  </si>
  <si>
    <t>Miles B./ Salida</t>
  </si>
  <si>
    <t>Ingreso permitido por Año tarifario de IMP según Res. 6419</t>
  </si>
  <si>
    <t>CXL230 KV Circuito.Sencillo/torres Doble</t>
  </si>
  <si>
    <t>(1) Existentes y previstas dentro del Período Tarifario.</t>
  </si>
  <si>
    <t xml:space="preserve">CXTR Reductor 60/80/100 MVA </t>
  </si>
  <si>
    <r>
      <t>OMTCT</t>
    </r>
    <r>
      <rPr>
        <b/>
        <vertAlign val="subscript"/>
        <sz val="10"/>
        <color theme="0"/>
        <rFont val="Arial"/>
        <family val="2"/>
      </rPr>
      <t>cxj</t>
    </r>
  </si>
  <si>
    <r>
      <t xml:space="preserve">ADMCT </t>
    </r>
    <r>
      <rPr>
        <b/>
        <vertAlign val="subscript"/>
        <sz val="10"/>
        <color theme="0"/>
        <rFont val="Arial"/>
        <family val="2"/>
      </rPr>
      <t>cxj</t>
    </r>
  </si>
  <si>
    <r>
      <t xml:space="preserve">DEPef </t>
    </r>
    <r>
      <rPr>
        <b/>
        <vertAlign val="subscript"/>
        <sz val="10"/>
        <color theme="0"/>
        <rFont val="Arial"/>
        <family val="2"/>
      </rPr>
      <t>cxj</t>
    </r>
  </si>
  <si>
    <t>(Miles de Balboas de Diciembre de 2012)</t>
  </si>
  <si>
    <r>
      <t>INGRESO ANUAL</t>
    </r>
    <r>
      <rPr>
        <sz val="10"/>
        <rFont val="Arial"/>
        <family val="2"/>
      </rPr>
      <t xml:space="preserve"> (Año Calendario)</t>
    </r>
  </si>
  <si>
    <r>
      <t>INGRESO ANUAL</t>
    </r>
    <r>
      <rPr>
        <sz val="10"/>
        <rFont val="Arial"/>
        <family val="2"/>
      </rPr>
      <t xml:space="preserve"> (Año Tarifario)(1)</t>
    </r>
  </si>
  <si>
    <t>230 kV</t>
  </si>
  <si>
    <t>115 kV</t>
  </si>
  <si>
    <t>(2)  Referido al 1º de julio de 2013</t>
  </si>
  <si>
    <t>Factores de actualización</t>
  </si>
  <si>
    <t>Jul13/Jun14</t>
  </si>
  <si>
    <t>Jul14/Jun15</t>
  </si>
  <si>
    <t>Jul15/Jun16</t>
  </si>
  <si>
    <t>Jul16/Jun17</t>
  </si>
  <si>
    <t>Sistema de conexión</t>
  </si>
  <si>
    <t>IPCT [Miles de B/.]</t>
  </si>
  <si>
    <t>IPCvnr [Miles de B/.]</t>
  </si>
  <si>
    <t>FA</t>
  </si>
  <si>
    <t>IPCvnri</t>
  </si>
  <si>
    <t>Sub Total</t>
  </si>
  <si>
    <t>Por:</t>
  </si>
  <si>
    <t>Rentabilidad (RRT)</t>
  </si>
  <si>
    <t>Total: ACTCTef (Conexión)</t>
  </si>
  <si>
    <t>Más:</t>
  </si>
  <si>
    <t>Total Depreciación</t>
  </si>
  <si>
    <t xml:space="preserve">Cañazas </t>
  </si>
  <si>
    <t>Esperanza</t>
  </si>
  <si>
    <t>IMP ASEP-ETESA</t>
  </si>
  <si>
    <t>Valor Presente de Ingresoso resultantes de la aplicación de cargos</t>
  </si>
  <si>
    <t>Ingreso permitido por Año Tarifario de IMP según Res. An No. 6419</t>
  </si>
  <si>
    <t>Diferencia de Aplicación menos permitido</t>
  </si>
  <si>
    <t>Diferencia en porcentaje</t>
  </si>
  <si>
    <t xml:space="preserve">   Diferencia de Aplicación menos permitido</t>
  </si>
  <si>
    <t>CANTIDAD</t>
  </si>
  <si>
    <t>VNR incorporado</t>
  </si>
  <si>
    <t xml:space="preserve">INGRESO AÑO </t>
  </si>
  <si>
    <t xml:space="preserve">Reemplazos </t>
  </si>
  <si>
    <t>Reemplazos</t>
  </si>
  <si>
    <t>Miles B/.MVA</t>
  </si>
  <si>
    <t>Miles B/.km</t>
  </si>
  <si>
    <t>CXS115 Interruptor y Medio con 1P</t>
  </si>
  <si>
    <t>CXS230 Barras sencilla</t>
  </si>
  <si>
    <t>Ingresos por Reemplazos</t>
  </si>
  <si>
    <t>B/.</t>
  </si>
</sst>
</file>

<file path=xl/styles.xml><?xml version="1.0" encoding="utf-8"?>
<styleSheet xmlns="http://schemas.openxmlformats.org/spreadsheetml/2006/main">
  <numFmts count="21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 ;_ * \-#,##0.00_ ;_ * &quot;-&quot;??_ ;_ @_ "/>
    <numFmt numFmtId="167" formatCode="#.00"/>
    <numFmt numFmtId="168" formatCode="0.0%"/>
    <numFmt numFmtId="169" formatCode="_-[$€-2]* #,##0.00_-;\-[$€-2]* #,##0.00_-;_-[$€-2]* &quot;-&quot;??_-"/>
    <numFmt numFmtId="170" formatCode="_-* #,##0.0_-;\-* #,##0.0_-;_-* &quot;-&quot;??_-;_-@_-"/>
    <numFmt numFmtId="171" formatCode="_-* #,##0_-;\-* #,##0_-;_-* &quot;-&quot;??_-;_-@_-"/>
    <numFmt numFmtId="172" formatCode="_(* #,##0.00000_);_(* \(#,##0.00000\);_(* &quot;-&quot;??_);_(@_)"/>
    <numFmt numFmtId="173" formatCode="_(* #,##0_);_(* \(#,##0\);_(* &quot;-&quot;??_);_(@_)"/>
    <numFmt numFmtId="174" formatCode="0.000"/>
    <numFmt numFmtId="175" formatCode="_(* #,##0.0000_);_(* \(#,##0.0000\);_(* &quot;-&quot;??_);_(@_)"/>
    <numFmt numFmtId="176" formatCode="#,##0.00_ ;[Red]\-#,##0.00\ "/>
    <numFmt numFmtId="177" formatCode="0.000000000"/>
    <numFmt numFmtId="178" formatCode="0.0000"/>
    <numFmt numFmtId="179" formatCode="_(* #,##0.000000_);_(* \(#,##0.000000\);_(* &quot;-&quot;??_);_(@_)"/>
    <numFmt numFmtId="180" formatCode="_-* #,##0.0000_-;\-* #,##0.0000_-;_-* &quot;-&quot;??_-;_-@_-"/>
    <numFmt numFmtId="181" formatCode="0.0"/>
    <numFmt numFmtId="182" formatCode="#,##0.000_);\(#,##0.000\)"/>
    <numFmt numFmtId="183" formatCode="0_ ;\-0\ "/>
  </numFmts>
  <fonts count="6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2"/>
      <name val="Arial"/>
      <family val="2"/>
    </font>
    <font>
      <b/>
      <sz val="10"/>
      <color theme="5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u val="singleAccounting"/>
      <sz val="10"/>
      <name val="Arial"/>
      <family val="2"/>
    </font>
    <font>
      <b/>
      <sz val="16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vertAlign val="subscript"/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 style="hair"/>
      <bottom style="hair"/>
    </border>
    <border>
      <left/>
      <right style="medium"/>
      <top style="medium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medium"/>
      <top/>
      <bottom style="hair"/>
    </border>
    <border>
      <left style="thin"/>
      <right style="medium"/>
      <top style="thin"/>
      <bottom style="thin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 style="medium"/>
      <top style="thin"/>
      <bottom style="medium"/>
    </border>
    <border>
      <left style="medium"/>
      <right/>
      <top/>
      <bottom style="hair"/>
    </border>
    <border>
      <left style="thin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medium"/>
    </border>
    <border>
      <left style="thin"/>
      <right style="medium"/>
      <top/>
      <bottom style="medium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/>
      <right style="medium"/>
      <top style="medium"/>
      <bottom style="medium"/>
    </border>
    <border>
      <left style="thin"/>
      <right/>
      <top style="medium"/>
      <bottom style="hair"/>
    </border>
    <border>
      <left style="medium"/>
      <right style="thin"/>
      <top style="hair"/>
      <bottom/>
    </border>
    <border>
      <left style="thin"/>
      <right style="thin"/>
      <top style="medium"/>
      <bottom style="hair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/>
    </border>
    <border>
      <left/>
      <right/>
      <top/>
      <bottom style="thin"/>
    </border>
    <border>
      <left style="hair"/>
      <right style="medium"/>
      <top style="medium"/>
      <bottom style="medium"/>
    </border>
    <border>
      <left style="thin"/>
      <right style="medium"/>
      <top style="hair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/>
      <right style="thin"/>
      <top style="hair"/>
      <bottom style="medium"/>
    </border>
    <border>
      <left/>
      <right style="thin"/>
      <top style="medium"/>
      <bottom style="hair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69" fontId="0" fillId="0" borderId="0" applyFont="0" applyFill="0" applyBorder="0" applyAlignment="0" applyProtection="0"/>
    <xf numFmtId="167" fontId="3" fillId="0" borderId="0">
      <alignment/>
      <protection locked="0"/>
    </xf>
    <xf numFmtId="167" fontId="3" fillId="0" borderId="0">
      <alignment/>
      <protection locked="0"/>
    </xf>
    <xf numFmtId="167" fontId="4" fillId="0" borderId="0">
      <alignment/>
      <protection locked="0"/>
    </xf>
    <xf numFmtId="167" fontId="3" fillId="0" borderId="0">
      <alignment/>
      <protection locked="0"/>
    </xf>
    <xf numFmtId="167" fontId="3" fillId="0" borderId="0">
      <alignment/>
      <protection locked="0"/>
    </xf>
    <xf numFmtId="167" fontId="3" fillId="0" borderId="0">
      <alignment/>
      <protection locked="0"/>
    </xf>
    <xf numFmtId="167" fontId="4" fillId="0" borderId="0">
      <alignment/>
      <protection locked="0"/>
    </xf>
    <xf numFmtId="0" fontId="22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40" fontId="24" fillId="24" borderId="0">
      <alignment horizontal="right"/>
      <protection/>
    </xf>
    <xf numFmtId="0" fontId="25" fillId="24" borderId="0">
      <alignment horizontal="right"/>
      <protection/>
    </xf>
    <xf numFmtId="0" fontId="26" fillId="24" borderId="5">
      <alignment/>
      <protection/>
    </xf>
    <xf numFmtId="0" fontId="26" fillId="0" borderId="0" applyBorder="0">
      <alignment horizontal="centerContinuous"/>
      <protection/>
    </xf>
    <xf numFmtId="0" fontId="2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16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20" fillId="0" borderId="9" applyNumberFormat="0" applyFill="0" applyAlignment="0" applyProtection="0"/>
    <xf numFmtId="0" fontId="34" fillId="0" borderId="10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16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1" xfId="0" applyFont="1" applyBorder="1"/>
    <xf numFmtId="0" fontId="0" fillId="0" borderId="0" xfId="0" applyProtection="1">
      <protection locked="0"/>
    </xf>
    <xf numFmtId="0" fontId="1" fillId="0" borderId="16" xfId="0" applyFont="1" applyBorder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7" fillId="0" borderId="19" xfId="0" applyFont="1" applyBorder="1" applyAlignment="1" applyProtection="1">
      <alignment horizontal="center"/>
      <protection locked="0"/>
    </xf>
    <xf numFmtId="10" fontId="0" fillId="0" borderId="20" xfId="77" applyNumberFormat="1" applyFont="1" applyBorder="1" applyProtection="1">
      <protection locked="0"/>
    </xf>
    <xf numFmtId="10" fontId="0" fillId="0" borderId="21" xfId="77" applyNumberFormat="1" applyFont="1" applyBorder="1" applyProtection="1">
      <protection locked="0"/>
    </xf>
    <xf numFmtId="0" fontId="0" fillId="0" borderId="13" xfId="0" applyFill="1" applyBorder="1" applyProtection="1"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4" fontId="0" fillId="0" borderId="0" xfId="0" applyNumberFormat="1" applyFill="1" applyBorder="1" applyProtection="1">
      <protection locked="0"/>
    </xf>
    <xf numFmtId="43" fontId="0" fillId="0" borderId="0" xfId="63" applyFont="1" applyProtection="1">
      <protection locked="0"/>
    </xf>
    <xf numFmtId="43" fontId="0" fillId="0" borderId="0" xfId="63" applyProtection="1">
      <protection locked="0"/>
    </xf>
    <xf numFmtId="10" fontId="0" fillId="24" borderId="24" xfId="77" applyNumberFormat="1" applyFont="1" applyFill="1" applyBorder="1" applyAlignment="1" applyProtection="1">
      <alignment horizontal="center"/>
      <protection locked="0"/>
    </xf>
    <xf numFmtId="10" fontId="0" fillId="24" borderId="25" xfId="77" applyNumberFormat="1" applyFont="1" applyFill="1" applyBorder="1" applyAlignment="1" applyProtection="1">
      <alignment horizontal="center"/>
      <protection locked="0"/>
    </xf>
    <xf numFmtId="10" fontId="0" fillId="24" borderId="19" xfId="77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Border="1"/>
    <xf numFmtId="0" fontId="0" fillId="0" borderId="27" xfId="0" applyBorder="1"/>
    <xf numFmtId="0" fontId="0" fillId="0" borderId="23" xfId="0" applyBorder="1"/>
    <xf numFmtId="0" fontId="0" fillId="0" borderId="0" xfId="0" applyFill="1" applyBorder="1"/>
    <xf numFmtId="4" fontId="1" fillId="0" borderId="0" xfId="0" applyNumberFormat="1" applyFont="1" applyFill="1" applyBorder="1"/>
    <xf numFmtId="10" fontId="10" fillId="16" borderId="19" xfId="0" applyNumberFormat="1" applyFont="1" applyFill="1" applyBorder="1" applyAlignment="1" applyProtection="1" quotePrefix="1">
      <alignment/>
      <protection locked="0"/>
    </xf>
    <xf numFmtId="4" fontId="8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0" fillId="0" borderId="0" xfId="0" applyNumberFormat="1" applyBorder="1"/>
    <xf numFmtId="0" fontId="1" fillId="0" borderId="0" xfId="0" applyFont="1"/>
    <xf numFmtId="0" fontId="7" fillId="0" borderId="19" xfId="0" applyFont="1" applyBorder="1" applyAlignment="1">
      <alignment horizontal="center"/>
    </xf>
    <xf numFmtId="10" fontId="0" fillId="0" borderId="24" xfId="77" applyNumberFormat="1" applyFont="1" applyFill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0" fillId="0" borderId="19" xfId="63" applyNumberFormat="1" applyFont="1" applyBorder="1"/>
    <xf numFmtId="0" fontId="1" fillId="0" borderId="28" xfId="0" applyFont="1" applyBorder="1"/>
    <xf numFmtId="0" fontId="0" fillId="0" borderId="18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29" xfId="0" applyFont="1" applyBorder="1"/>
    <xf numFmtId="0" fontId="0" fillId="0" borderId="24" xfId="0" applyBorder="1" applyAlignment="1">
      <alignment horizontal="center"/>
    </xf>
    <xf numFmtId="173" fontId="1" fillId="0" borderId="19" xfId="63" applyNumberFormat="1" applyFont="1" applyFill="1" applyBorder="1"/>
    <xf numFmtId="0" fontId="0" fillId="0" borderId="5" xfId="0" applyBorder="1" applyAlignment="1">
      <alignment horizontal="center"/>
    </xf>
    <xf numFmtId="0" fontId="0" fillId="0" borderId="11" xfId="0" applyFill="1" applyBorder="1"/>
    <xf numFmtId="0" fontId="0" fillId="0" borderId="20" xfId="0" applyBorder="1"/>
    <xf numFmtId="173" fontId="0" fillId="0" borderId="5" xfId="63" applyNumberFormat="1" applyFont="1" applyBorder="1"/>
    <xf numFmtId="0" fontId="0" fillId="0" borderId="5" xfId="0" applyBorder="1"/>
    <xf numFmtId="0" fontId="0" fillId="0" borderId="5" xfId="0" applyFont="1" applyBorder="1"/>
    <xf numFmtId="0" fontId="0" fillId="0" borderId="30" xfId="0" applyFont="1" applyBorder="1"/>
    <xf numFmtId="0" fontId="1" fillId="0" borderId="5" xfId="0" applyFont="1" applyBorder="1" applyAlignment="1">
      <alignment horizontal="right"/>
    </xf>
    <xf numFmtId="172" fontId="0" fillId="0" borderId="5" xfId="63" applyNumberFormat="1" applyFont="1" applyBorder="1"/>
    <xf numFmtId="0" fontId="1" fillId="0" borderId="31" xfId="0" applyFont="1" applyBorder="1"/>
    <xf numFmtId="0" fontId="0" fillId="0" borderId="32" xfId="0" applyBorder="1"/>
    <xf numFmtId="0" fontId="11" fillId="0" borderId="33" xfId="0" applyFont="1" applyBorder="1" applyAlignment="1">
      <alignment horizontal="center"/>
    </xf>
    <xf numFmtId="0" fontId="0" fillId="0" borderId="34" xfId="0" applyBorder="1"/>
    <xf numFmtId="0" fontId="12" fillId="0" borderId="33" xfId="0" applyFont="1" applyBorder="1"/>
    <xf numFmtId="0" fontId="12" fillId="0" borderId="34" xfId="0" applyFont="1" applyBorder="1"/>
    <xf numFmtId="2" fontId="12" fillId="0" borderId="34" xfId="0" applyNumberFormat="1" applyFont="1" applyBorder="1"/>
    <xf numFmtId="173" fontId="1" fillId="0" borderId="30" xfId="0" applyNumberFormat="1" applyFont="1" applyBorder="1"/>
    <xf numFmtId="0" fontId="1" fillId="0" borderId="13" xfId="0" applyFont="1" applyBorder="1"/>
    <xf numFmtId="2" fontId="1" fillId="0" borderId="0" xfId="0" applyNumberFormat="1" applyFont="1" applyBorder="1"/>
    <xf numFmtId="17" fontId="0" fillId="0" borderId="0" xfId="0" applyNumberFormat="1" applyAlignment="1">
      <alignment horizontal="left"/>
    </xf>
    <xf numFmtId="0" fontId="7" fillId="0" borderId="0" xfId="0" applyFont="1"/>
    <xf numFmtId="43" fontId="1" fillId="0" borderId="11" xfId="63" applyFont="1" applyBorder="1"/>
    <xf numFmtId="43" fontId="0" fillId="0" borderId="0" xfId="0" applyNumberFormat="1" applyBorder="1"/>
    <xf numFmtId="43" fontId="1" fillId="0" borderId="0" xfId="63" applyFont="1" applyBorder="1"/>
    <xf numFmtId="0" fontId="0" fillId="0" borderId="0" xfId="0" applyBorder="1" applyAlignment="1">
      <alignment horizontal="right"/>
    </xf>
    <xf numFmtId="43" fontId="0" fillId="0" borderId="0" xfId="0" applyNumberFormat="1" applyBorder="1" applyAlignment="1">
      <alignment horizontal="right"/>
    </xf>
    <xf numFmtId="173" fontId="0" fillId="0" borderId="0" xfId="63" applyNumberFormat="1" applyBorder="1"/>
    <xf numFmtId="2" fontId="0" fillId="0" borderId="0" xfId="0" applyNumberFormat="1" applyBorder="1" applyAlignment="1">
      <alignment horizontal="left" indent="2"/>
    </xf>
    <xf numFmtId="174" fontId="0" fillId="0" borderId="0" xfId="0" applyNumberFormat="1" applyBorder="1" applyAlignment="1">
      <alignment horizontal="left" indent="1"/>
    </xf>
    <xf numFmtId="0" fontId="1" fillId="0" borderId="16" xfId="0" applyFont="1" applyBorder="1"/>
    <xf numFmtId="10" fontId="0" fillId="0" borderId="25" xfId="77" applyNumberFormat="1" applyFont="1" applyFill="1" applyBorder="1" applyAlignment="1">
      <alignment horizontal="center"/>
    </xf>
    <xf numFmtId="0" fontId="0" fillId="0" borderId="35" xfId="0" applyBorder="1"/>
    <xf numFmtId="0" fontId="7" fillId="0" borderId="22" xfId="0" applyFont="1" applyBorder="1" applyAlignment="1">
      <alignment horizontal="center"/>
    </xf>
    <xf numFmtId="173" fontId="0" fillId="25" borderId="22" xfId="63" applyNumberFormat="1" applyFont="1" applyFill="1" applyBorder="1"/>
    <xf numFmtId="173" fontId="0" fillId="0" borderId="22" xfId="63" applyNumberFormat="1" applyFont="1" applyBorder="1"/>
    <xf numFmtId="0" fontId="0" fillId="0" borderId="15" xfId="0" applyBorder="1" applyAlignment="1">
      <alignment horizontal="center"/>
    </xf>
    <xf numFmtId="0" fontId="0" fillId="0" borderId="27" xfId="0" applyFont="1" applyFill="1" applyBorder="1"/>
    <xf numFmtId="0" fontId="9" fillId="0" borderId="11" xfId="0" applyFont="1" applyBorder="1"/>
    <xf numFmtId="172" fontId="0" fillId="0" borderId="36" xfId="63" applyNumberFormat="1" applyFont="1" applyFill="1" applyBorder="1"/>
    <xf numFmtId="0" fontId="12" fillId="0" borderId="15" xfId="0" applyFont="1" applyBorder="1"/>
    <xf numFmtId="0" fontId="12" fillId="0" borderId="37" xfId="0" applyFont="1" applyBorder="1"/>
    <xf numFmtId="0" fontId="12" fillId="0" borderId="23" xfId="0" applyFont="1" applyFill="1" applyBorder="1"/>
    <xf numFmtId="10" fontId="10" fillId="16" borderId="37" xfId="77" applyNumberFormat="1" applyFont="1" applyFill="1" applyBorder="1" applyAlignment="1" applyProtection="1">
      <alignment/>
      <protection locked="0"/>
    </xf>
    <xf numFmtId="165" fontId="0" fillId="0" borderId="0" xfId="0" applyNumberFormat="1" applyBorder="1" applyAlignment="1">
      <alignment horizontal="right"/>
    </xf>
    <xf numFmtId="43" fontId="0" fillId="0" borderId="38" xfId="63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33" xfId="0" applyFont="1" applyBorder="1"/>
    <xf numFmtId="0" fontId="1" fillId="0" borderId="39" xfId="0" applyFont="1" applyFill="1" applyBorder="1" applyAlignment="1">
      <alignment horizontal="right"/>
    </xf>
    <xf numFmtId="173" fontId="1" fillId="0" borderId="5" xfId="0" applyNumberFormat="1" applyFont="1" applyBorder="1"/>
    <xf numFmtId="173" fontId="1" fillId="0" borderId="5" xfId="0" applyNumberFormat="1" applyFont="1" applyBorder="1" applyAlignment="1">
      <alignment horizontal="center"/>
    </xf>
    <xf numFmtId="0" fontId="0" fillId="0" borderId="33" xfId="0" applyBorder="1"/>
    <xf numFmtId="173" fontId="0" fillId="0" borderId="27" xfId="63" applyNumberFormat="1" applyFont="1" applyFill="1" applyBorder="1"/>
    <xf numFmtId="171" fontId="0" fillId="0" borderId="0" xfId="59" applyNumberFormat="1" applyFont="1"/>
    <xf numFmtId="0" fontId="0" fillId="0" borderId="40" xfId="0" applyFill="1" applyBorder="1"/>
    <xf numFmtId="0" fontId="0" fillId="0" borderId="12" xfId="0" applyFill="1" applyBorder="1"/>
    <xf numFmtId="0" fontId="0" fillId="0" borderId="23" xfId="0" applyFill="1" applyBorder="1"/>
    <xf numFmtId="0" fontId="0" fillId="0" borderId="0" xfId="0" applyAlignment="1">
      <alignment horizontal="left"/>
    </xf>
    <xf numFmtId="0" fontId="6" fillId="0" borderId="26" xfId="0" applyFont="1" applyBorder="1" applyAlignment="1">
      <alignment horizontal="center"/>
    </xf>
    <xf numFmtId="173" fontId="0" fillId="0" borderId="0" xfId="0" applyNumberFormat="1"/>
    <xf numFmtId="0" fontId="1" fillId="0" borderId="41" xfId="0" applyFont="1" applyBorder="1" applyAlignment="1">
      <alignment wrapText="1"/>
    </xf>
    <xf numFmtId="0" fontId="1" fillId="0" borderId="41" xfId="0" applyFont="1" applyBorder="1"/>
    <xf numFmtId="0" fontId="1" fillId="0" borderId="42" xfId="0" applyFont="1" applyBorder="1"/>
    <xf numFmtId="0" fontId="0" fillId="0" borderId="11" xfId="0" applyFont="1" applyBorder="1"/>
    <xf numFmtId="173" fontId="0" fillId="0" borderId="0" xfId="0" applyNumberFormat="1" applyBorder="1"/>
    <xf numFmtId="0" fontId="1" fillId="0" borderId="28" xfId="0" applyFont="1" applyBorder="1" applyAlignment="1">
      <alignment horizontal="center"/>
    </xf>
    <xf numFmtId="0" fontId="0" fillId="0" borderId="43" xfId="0" applyBorder="1"/>
    <xf numFmtId="0" fontId="0" fillId="0" borderId="18" xfId="0" applyBorder="1"/>
    <xf numFmtId="0" fontId="11" fillId="0" borderId="18" xfId="0" applyFont="1" applyBorder="1"/>
    <xf numFmtId="0" fontId="11" fillId="0" borderId="17" xfId="0" applyFont="1" applyBorder="1"/>
    <xf numFmtId="0" fontId="1" fillId="0" borderId="44" xfId="0" applyFont="1" applyBorder="1"/>
    <xf numFmtId="0" fontId="0" fillId="0" borderId="45" xfId="0" applyBorder="1"/>
    <xf numFmtId="0" fontId="12" fillId="0" borderId="45" xfId="0" applyFont="1" applyBorder="1"/>
    <xf numFmtId="1" fontId="12" fillId="0" borderId="46" xfId="0" applyNumberFormat="1" applyFont="1" applyBorder="1"/>
    <xf numFmtId="0" fontId="8" fillId="0" borderId="11" xfId="0" applyFont="1" applyBorder="1"/>
    <xf numFmtId="0" fontId="6" fillId="0" borderId="11" xfId="0" applyFont="1" applyBorder="1"/>
    <xf numFmtId="0" fontId="12" fillId="0" borderId="5" xfId="0" applyFont="1" applyBorder="1"/>
    <xf numFmtId="0" fontId="12" fillId="0" borderId="30" xfId="0" applyFont="1" applyBorder="1"/>
    <xf numFmtId="173" fontId="0" fillId="0" borderId="19" xfId="63" applyNumberFormat="1" applyFont="1" applyFill="1" applyBorder="1"/>
    <xf numFmtId="0" fontId="7" fillId="0" borderId="0" xfId="0" applyFont="1" applyFill="1" applyBorder="1" applyAlignment="1">
      <alignment horizontal="center"/>
    </xf>
    <xf numFmtId="0" fontId="0" fillId="0" borderId="27" xfId="0" applyFill="1" applyBorder="1"/>
    <xf numFmtId="0" fontId="1" fillId="0" borderId="33" xfId="0" applyFont="1" applyBorder="1" applyAlignment="1">
      <alignment horizontal="right"/>
    </xf>
    <xf numFmtId="0" fontId="0" fillId="0" borderId="0" xfId="0" applyFill="1"/>
    <xf numFmtId="0" fontId="0" fillId="0" borderId="13" xfId="0" applyFill="1" applyBorder="1"/>
    <xf numFmtId="165" fontId="0" fillId="0" borderId="0" xfId="0" applyNumberFormat="1" applyFill="1"/>
    <xf numFmtId="0" fontId="1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73" fontId="5" fillId="0" borderId="0" xfId="65" applyNumberFormat="1" applyFont="1" applyFill="1"/>
    <xf numFmtId="0" fontId="1" fillId="0" borderId="0" xfId="0" applyFont="1" applyFill="1"/>
    <xf numFmtId="43" fontId="0" fillId="0" borderId="0" xfId="0" applyNumberFormat="1" applyFill="1"/>
    <xf numFmtId="0" fontId="0" fillId="0" borderId="0" xfId="0" applyFont="1" applyFill="1"/>
    <xf numFmtId="0" fontId="0" fillId="0" borderId="47" xfId="0" applyFont="1" applyFill="1" applyBorder="1"/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165" fontId="0" fillId="0" borderId="50" xfId="0" applyNumberFormat="1" applyFont="1" applyFill="1" applyBorder="1"/>
    <xf numFmtId="0" fontId="0" fillId="0" borderId="51" xfId="0" applyFont="1" applyFill="1" applyBorder="1"/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165" fontId="0" fillId="0" borderId="54" xfId="0" applyNumberFormat="1" applyFont="1" applyFill="1" applyBorder="1"/>
    <xf numFmtId="165" fontId="0" fillId="0" borderId="0" xfId="0" applyNumberFormat="1" applyFont="1" applyFill="1"/>
    <xf numFmtId="0" fontId="0" fillId="0" borderId="55" xfId="0" applyFont="1" applyFill="1" applyBorder="1"/>
    <xf numFmtId="0" fontId="0" fillId="0" borderId="56" xfId="0" applyFont="1" applyFill="1" applyBorder="1"/>
    <xf numFmtId="0" fontId="0" fillId="0" borderId="57" xfId="0" applyFont="1" applyFill="1" applyBorder="1"/>
    <xf numFmtId="0" fontId="0" fillId="0" borderId="58" xfId="0" applyFont="1" applyFill="1" applyBorder="1"/>
    <xf numFmtId="165" fontId="0" fillId="0" borderId="0" xfId="59" applyFont="1" applyFill="1" applyBorder="1"/>
    <xf numFmtId="177" fontId="0" fillId="0" borderId="0" xfId="0" applyNumberFormat="1" applyFont="1" applyFill="1"/>
    <xf numFmtId="165" fontId="0" fillId="0" borderId="0" xfId="59" applyFont="1" applyFill="1"/>
    <xf numFmtId="3" fontId="0" fillId="0" borderId="0" xfId="0" applyNumberFormat="1"/>
    <xf numFmtId="171" fontId="0" fillId="0" borderId="0" xfId="0" applyNumberFormat="1"/>
    <xf numFmtId="0" fontId="13" fillId="0" borderId="0" xfId="0" applyFont="1" applyFill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65" fontId="1" fillId="0" borderId="0" xfId="59" applyFont="1" applyFill="1"/>
    <xf numFmtId="0" fontId="0" fillId="0" borderId="59" xfId="0" applyFont="1" applyFill="1" applyBorder="1"/>
    <xf numFmtId="0" fontId="0" fillId="0" borderId="60" xfId="0" applyFont="1" applyFill="1" applyBorder="1"/>
    <xf numFmtId="0" fontId="0" fillId="0" borderId="61" xfId="0" applyFont="1" applyFill="1" applyBorder="1"/>
    <xf numFmtId="171" fontId="0" fillId="0" borderId="56" xfId="59" applyNumberFormat="1" applyFont="1" applyFill="1" applyBorder="1"/>
    <xf numFmtId="165" fontId="0" fillId="0" borderId="62" xfId="59" applyFont="1" applyFill="1" applyBorder="1"/>
    <xf numFmtId="165" fontId="0" fillId="0" borderId="63" xfId="59" applyFont="1" applyFill="1" applyBorder="1"/>
    <xf numFmtId="165" fontId="0" fillId="0" borderId="56" xfId="59" applyFont="1" applyFill="1" applyBorder="1"/>
    <xf numFmtId="165" fontId="0" fillId="0" borderId="58" xfId="59" applyFont="1" applyFill="1" applyBorder="1"/>
    <xf numFmtId="171" fontId="0" fillId="0" borderId="62" xfId="59" applyNumberFormat="1" applyFont="1" applyFill="1" applyBorder="1"/>
    <xf numFmtId="171" fontId="0" fillId="0" borderId="64" xfId="59" applyNumberFormat="1" applyFont="1" applyFill="1" applyBorder="1"/>
    <xf numFmtId="165" fontId="0" fillId="0" borderId="59" xfId="59" applyFont="1" applyFill="1" applyBorder="1"/>
    <xf numFmtId="165" fontId="0" fillId="0" borderId="57" xfId="59" applyFont="1" applyFill="1" applyBorder="1"/>
    <xf numFmtId="171" fontId="0" fillId="0" borderId="63" xfId="59" applyNumberFormat="1" applyFont="1" applyFill="1" applyBorder="1"/>
    <xf numFmtId="43" fontId="2" fillId="0" borderId="0" xfId="63" applyFont="1" applyFill="1" applyBorder="1" applyAlignment="1">
      <alignment horizontal="center" vertical="center" wrapText="1"/>
    </xf>
    <xf numFmtId="43" fontId="1" fillId="0" borderId="40" xfId="63" applyFont="1" applyFill="1" applyBorder="1" applyAlignment="1">
      <alignment horizontal="left"/>
    </xf>
    <xf numFmtId="171" fontId="0" fillId="0" borderId="57" xfId="59" applyNumberFormat="1" applyFont="1" applyFill="1" applyBorder="1"/>
    <xf numFmtId="165" fontId="0" fillId="0" borderId="64" xfId="59" applyFont="1" applyFill="1" applyBorder="1"/>
    <xf numFmtId="43" fontId="0" fillId="0" borderId="38" xfId="63" applyFont="1" applyFill="1" applyBorder="1"/>
    <xf numFmtId="0" fontId="0" fillId="0" borderId="65" xfId="0" applyFill="1" applyBorder="1"/>
    <xf numFmtId="0" fontId="0" fillId="0" borderId="64" xfId="0" applyFill="1" applyBorder="1"/>
    <xf numFmtId="43" fontId="0" fillId="0" borderId="64" xfId="63" applyFill="1" applyBorder="1"/>
    <xf numFmtId="43" fontId="0" fillId="0" borderId="64" xfId="63" applyFont="1" applyFill="1" applyBorder="1"/>
    <xf numFmtId="39" fontId="2" fillId="0" borderId="0" xfId="0" applyNumberFormat="1" applyFont="1" applyFill="1" applyBorder="1"/>
    <xf numFmtId="0" fontId="10" fillId="0" borderId="0" xfId="0" applyFont="1" applyFill="1"/>
    <xf numFmtId="171" fontId="0" fillId="0" borderId="58" xfId="59" applyNumberFormat="1" applyFont="1" applyFill="1" applyBorder="1"/>
    <xf numFmtId="3" fontId="0" fillId="0" borderId="0" xfId="0" applyNumberFormat="1" applyFont="1" applyFill="1" applyBorder="1"/>
    <xf numFmtId="0" fontId="0" fillId="0" borderId="66" xfId="0" applyFont="1" applyFill="1" applyBorder="1"/>
    <xf numFmtId="171" fontId="0" fillId="0" borderId="65" xfId="59" applyNumberFormat="1" applyFont="1" applyFill="1" applyBorder="1"/>
    <xf numFmtId="171" fontId="0" fillId="0" borderId="0" xfId="59" applyNumberFormat="1" applyFont="1" applyFill="1" applyBorder="1"/>
    <xf numFmtId="39" fontId="0" fillId="0" borderId="0" xfId="0" applyNumberFormat="1"/>
    <xf numFmtId="171" fontId="0" fillId="0" borderId="38" xfId="59" applyNumberFormat="1" applyFont="1" applyFill="1" applyBorder="1"/>
    <xf numFmtId="173" fontId="1" fillId="0" borderId="0" xfId="63" applyNumberFormat="1" applyFont="1" applyFill="1" applyBorder="1"/>
    <xf numFmtId="172" fontId="0" fillId="0" borderId="0" xfId="0" applyNumberFormat="1"/>
    <xf numFmtId="171" fontId="0" fillId="0" borderId="0" xfId="59" applyNumberFormat="1" applyFont="1" applyBorder="1"/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/>
    <xf numFmtId="173" fontId="0" fillId="0" borderId="19" xfId="61" applyNumberFormat="1" applyFont="1" applyBorder="1"/>
    <xf numFmtId="173" fontId="0" fillId="0" borderId="67" xfId="61" applyNumberFormat="1" applyFont="1" applyBorder="1"/>
    <xf numFmtId="173" fontId="0" fillId="0" borderId="5" xfId="61" applyNumberFormat="1" applyFont="1" applyBorder="1"/>
    <xf numFmtId="173" fontId="11" fillId="0" borderId="5" xfId="61" applyNumberFormat="1" applyFont="1" applyBorder="1"/>
    <xf numFmtId="173" fontId="11" fillId="0" borderId="15" xfId="61" applyNumberFormat="1" applyFont="1" applyFill="1" applyBorder="1"/>
    <xf numFmtId="171" fontId="0" fillId="0" borderId="68" xfId="59" applyNumberFormat="1" applyFont="1" applyFill="1" applyBorder="1"/>
    <xf numFmtId="0" fontId="10" fillId="0" borderId="0" xfId="0" applyFont="1" applyFill="1" applyBorder="1"/>
    <xf numFmtId="49" fontId="7" fillId="0" borderId="0" xfId="0" applyNumberFormat="1" applyFont="1" applyAlignment="1">
      <alignment horizontal="left"/>
    </xf>
    <xf numFmtId="165" fontId="1" fillId="0" borderId="0" xfId="59" applyFont="1" applyFill="1" applyBorder="1"/>
    <xf numFmtId="173" fontId="0" fillId="0" borderId="0" xfId="59" applyNumberFormat="1" applyFont="1" applyFill="1" applyBorder="1"/>
    <xf numFmtId="43" fontId="1" fillId="0" borderId="69" xfId="63" applyFont="1" applyFill="1" applyBorder="1" applyAlignment="1">
      <alignment horizontal="left"/>
    </xf>
    <xf numFmtId="4" fontId="35" fillId="0" borderId="0" xfId="0" applyNumberFormat="1" applyFont="1" applyFill="1" applyBorder="1"/>
    <xf numFmtId="4" fontId="0" fillId="0" borderId="0" xfId="0" applyNumberFormat="1" applyFont="1" applyFill="1" applyBorder="1"/>
    <xf numFmtId="0" fontId="1" fillId="0" borderId="70" xfId="0" applyFont="1" applyBorder="1"/>
    <xf numFmtId="0" fontId="0" fillId="0" borderId="70" xfId="0" applyBorder="1"/>
    <xf numFmtId="0" fontId="1" fillId="0" borderId="71" xfId="0" applyFont="1" applyBorder="1"/>
    <xf numFmtId="0" fontId="1" fillId="0" borderId="72" xfId="0" applyFont="1" applyBorder="1"/>
    <xf numFmtId="0" fontId="0" fillId="0" borderId="70" xfId="0" applyFill="1" applyBorder="1"/>
    <xf numFmtId="0" fontId="0" fillId="0" borderId="73" xfId="0" applyBorder="1"/>
    <xf numFmtId="173" fontId="0" fillId="0" borderId="5" xfId="63" applyNumberFormat="1" applyFont="1" applyFill="1" applyBorder="1"/>
    <xf numFmtId="0" fontId="0" fillId="0" borderId="5" xfId="0" applyFont="1" applyFill="1" applyBorder="1"/>
    <xf numFmtId="0" fontId="9" fillId="0" borderId="70" xfId="0" applyFont="1" applyBorder="1"/>
    <xf numFmtId="172" fontId="0" fillId="0" borderId="30" xfId="63" applyNumberFormat="1" applyFont="1" applyFill="1" applyBorder="1"/>
    <xf numFmtId="0" fontId="12" fillId="0" borderId="15" xfId="0" applyFont="1" applyFill="1" applyBorder="1"/>
    <xf numFmtId="0" fontId="1" fillId="0" borderId="5" xfId="0" applyFont="1" applyBorder="1"/>
    <xf numFmtId="0" fontId="1" fillId="0" borderId="5" xfId="0" applyFont="1" applyFill="1" applyBorder="1" applyAlignment="1">
      <alignment horizontal="right"/>
    </xf>
    <xf numFmtId="0" fontId="0" fillId="0" borderId="74" xfId="0" applyBorder="1"/>
    <xf numFmtId="0" fontId="0" fillId="0" borderId="24" xfId="0" applyBorder="1"/>
    <xf numFmtId="0" fontId="1" fillId="0" borderId="19" xfId="0" applyFont="1" applyBorder="1" applyAlignment="1">
      <alignment horizontal="right"/>
    </xf>
    <xf numFmtId="43" fontId="0" fillId="0" borderId="46" xfId="0" applyNumberFormat="1" applyBorder="1"/>
    <xf numFmtId="43" fontId="0" fillId="0" borderId="75" xfId="0" applyNumberFormat="1" applyBorder="1"/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3" fontId="0" fillId="0" borderId="5" xfId="63" applyFont="1" applyFill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3" fontId="0" fillId="0" borderId="30" xfId="0" applyNumberFormat="1" applyBorder="1"/>
    <xf numFmtId="43" fontId="0" fillId="0" borderId="36" xfId="0" applyNumberFormat="1" applyBorder="1"/>
    <xf numFmtId="43" fontId="1" fillId="0" borderId="31" xfId="63" applyFont="1" applyBorder="1"/>
    <xf numFmtId="43" fontId="0" fillId="0" borderId="33" xfId="63" applyFont="1" applyFill="1" applyBorder="1" applyAlignment="1">
      <alignment horizontal="left"/>
    </xf>
    <xf numFmtId="173" fontId="1" fillId="0" borderId="34" xfId="0" applyNumberFormat="1" applyFont="1" applyBorder="1"/>
    <xf numFmtId="43" fontId="0" fillId="0" borderId="33" xfId="0" applyNumberFormat="1" applyBorder="1"/>
    <xf numFmtId="43" fontId="0" fillId="0" borderId="34" xfId="0" applyNumberFormat="1" applyBorder="1"/>
    <xf numFmtId="43" fontId="0" fillId="0" borderId="76" xfId="0" applyNumberFormat="1" applyBorder="1"/>
    <xf numFmtId="0" fontId="11" fillId="0" borderId="15" xfId="0" applyFont="1" applyBorder="1" applyAlignment="1">
      <alignment horizontal="center"/>
    </xf>
    <xf numFmtId="0" fontId="39" fillId="0" borderId="32" xfId="0" applyFont="1" applyFill="1" applyBorder="1"/>
    <xf numFmtId="0" fontId="39" fillId="0" borderId="0" xfId="0" applyFont="1" applyFill="1" applyBorder="1"/>
    <xf numFmtId="43" fontId="1" fillId="0" borderId="65" xfId="63" applyFont="1" applyFill="1" applyBorder="1" applyAlignment="1">
      <alignment horizontal="left"/>
    </xf>
    <xf numFmtId="0" fontId="0" fillId="0" borderId="69" xfId="0" applyFill="1" applyBorder="1"/>
    <xf numFmtId="43" fontId="37" fillId="26" borderId="19" xfId="63" applyFont="1" applyFill="1" applyBorder="1" applyAlignment="1">
      <alignment horizontal="center"/>
    </xf>
    <xf numFmtId="49" fontId="36" fillId="26" borderId="19" xfId="0" applyNumberFormat="1" applyFont="1" applyFill="1" applyBorder="1" applyAlignment="1">
      <alignment horizontal="center"/>
    </xf>
    <xf numFmtId="43" fontId="40" fillId="26" borderId="19" xfId="63" applyFont="1" applyFill="1" applyBorder="1" applyAlignment="1">
      <alignment horizontal="left"/>
    </xf>
    <xf numFmtId="0" fontId="36" fillId="26" borderId="19" xfId="0" applyFont="1" applyFill="1" applyBorder="1" applyAlignment="1">
      <alignment horizontal="center"/>
    </xf>
    <xf numFmtId="165" fontId="1" fillId="0" borderId="38" xfId="59" applyNumberFormat="1" applyFont="1" applyFill="1" applyBorder="1"/>
    <xf numFmtId="175" fontId="37" fillId="26" borderId="77" xfId="63" applyNumberFormat="1" applyFont="1" applyFill="1" applyBorder="1"/>
    <xf numFmtId="43" fontId="0" fillId="0" borderId="78" xfId="63" applyFill="1" applyBorder="1"/>
    <xf numFmtId="43" fontId="0" fillId="0" borderId="79" xfId="63" applyFont="1" applyFill="1" applyBorder="1"/>
    <xf numFmtId="0" fontId="1" fillId="0" borderId="80" xfId="0" applyFont="1" applyBorder="1"/>
    <xf numFmtId="0" fontId="0" fillId="0" borderId="81" xfId="0" applyFill="1" applyBorder="1"/>
    <xf numFmtId="0" fontId="0" fillId="0" borderId="82" xfId="0" applyFill="1" applyBorder="1"/>
    <xf numFmtId="43" fontId="0" fillId="0" borderId="68" xfId="63" applyFill="1" applyBorder="1"/>
    <xf numFmtId="4" fontId="0" fillId="0" borderId="82" xfId="0" applyNumberFormat="1" applyFill="1" applyBorder="1"/>
    <xf numFmtId="43" fontId="0" fillId="0" borderId="83" xfId="63" applyFill="1" applyBorder="1"/>
    <xf numFmtId="4" fontId="0" fillId="0" borderId="84" xfId="0" applyNumberFormat="1" applyFont="1" applyFill="1" applyBorder="1"/>
    <xf numFmtId="43" fontId="0" fillId="0" borderId="85" xfId="63" applyFill="1" applyBorder="1"/>
    <xf numFmtId="43" fontId="0" fillId="0" borderId="86" xfId="63" applyFont="1" applyFill="1" applyBorder="1"/>
    <xf numFmtId="43" fontId="0" fillId="0" borderId="87" xfId="63" applyFill="1" applyBorder="1"/>
    <xf numFmtId="43" fontId="1" fillId="0" borderId="80" xfId="63" applyFont="1" applyFill="1" applyBorder="1" applyAlignment="1">
      <alignment horizontal="center"/>
    </xf>
    <xf numFmtId="9" fontId="1" fillId="0" borderId="38" xfId="77" applyFont="1" applyFill="1" applyBorder="1"/>
    <xf numFmtId="171" fontId="0" fillId="0" borderId="78" xfId="59" applyNumberFormat="1" applyFont="1" applyFill="1" applyBorder="1"/>
    <xf numFmtId="171" fontId="0" fillId="0" borderId="69" xfId="59" applyNumberFormat="1" applyFont="1" applyFill="1" applyBorder="1"/>
    <xf numFmtId="43" fontId="2" fillId="0" borderId="40" xfId="63" applyFont="1" applyFill="1" applyBorder="1" applyAlignment="1">
      <alignment horizontal="center"/>
    </xf>
    <xf numFmtId="43" fontId="1" fillId="0" borderId="38" xfId="63" applyFont="1" applyFill="1" applyBorder="1" applyAlignment="1">
      <alignment horizontal="left"/>
    </xf>
    <xf numFmtId="0" fontId="0" fillId="0" borderId="38" xfId="0" applyFill="1" applyBorder="1"/>
    <xf numFmtId="43" fontId="0" fillId="0" borderId="38" xfId="63" applyFont="1" applyFill="1" applyBorder="1" applyAlignment="1">
      <alignment horizontal="left"/>
    </xf>
    <xf numFmtId="171" fontId="11" fillId="0" borderId="38" xfId="59" applyNumberFormat="1" applyFont="1" applyFill="1" applyBorder="1"/>
    <xf numFmtId="43" fontId="0" fillId="0" borderId="78" xfId="63" applyFont="1" applyFill="1" applyBorder="1" applyAlignment="1">
      <alignment horizontal="left"/>
    </xf>
    <xf numFmtId="171" fontId="37" fillId="26" borderId="19" xfId="59" applyNumberFormat="1" applyFont="1" applyFill="1" applyBorder="1"/>
    <xf numFmtId="43" fontId="0" fillId="0" borderId="82" xfId="63" applyFont="1" applyFill="1" applyBorder="1"/>
    <xf numFmtId="0" fontId="0" fillId="0" borderId="38" xfId="0" applyFont="1" applyFill="1" applyBorder="1"/>
    <xf numFmtId="165" fontId="0" fillId="0" borderId="68" xfId="59" applyFont="1" applyFill="1" applyBorder="1"/>
    <xf numFmtId="165" fontId="0" fillId="0" borderId="68" xfId="59" applyFont="1" applyFill="1" applyBorder="1" applyAlignment="1">
      <alignment horizontal="right"/>
    </xf>
    <xf numFmtId="2" fontId="0" fillId="0" borderId="82" xfId="63" applyNumberFormat="1" applyFont="1" applyFill="1" applyBorder="1"/>
    <xf numFmtId="0" fontId="0" fillId="0" borderId="78" xfId="0" applyFont="1" applyFill="1" applyBorder="1"/>
    <xf numFmtId="43" fontId="0" fillId="0" borderId="88" xfId="63" applyFont="1" applyFill="1" applyBorder="1"/>
    <xf numFmtId="43" fontId="0" fillId="0" borderId="84" xfId="63" applyFont="1" applyFill="1" applyBorder="1"/>
    <xf numFmtId="0" fontId="0" fillId="0" borderId="85" xfId="0" applyFont="1" applyFill="1" applyBorder="1"/>
    <xf numFmtId="165" fontId="0" fillId="0" borderId="85" xfId="59" applyFont="1" applyFill="1" applyBorder="1" applyAlignment="1">
      <alignment horizontal="right"/>
    </xf>
    <xf numFmtId="173" fontId="0" fillId="0" borderId="67" xfId="63" applyNumberFormat="1" applyFont="1" applyFill="1" applyBorder="1"/>
    <xf numFmtId="0" fontId="7" fillId="0" borderId="27" xfId="0" applyFont="1" applyFill="1" applyBorder="1" applyAlignment="1">
      <alignment horizontal="center"/>
    </xf>
    <xf numFmtId="173" fontId="0" fillId="0" borderId="89" xfId="63" applyNumberFormat="1" applyFont="1" applyBorder="1"/>
    <xf numFmtId="0" fontId="35" fillId="0" borderId="64" xfId="0" applyFont="1" applyFill="1" applyBorder="1" applyAlignment="1">
      <alignment horizontal="center"/>
    </xf>
    <xf numFmtId="2" fontId="35" fillId="0" borderId="64" xfId="0" applyNumberFormat="1" applyFont="1" applyFill="1" applyBorder="1" applyAlignment="1">
      <alignment horizontal="center"/>
    </xf>
    <xf numFmtId="0" fontId="0" fillId="0" borderId="88" xfId="0" applyFill="1" applyBorder="1"/>
    <xf numFmtId="165" fontId="1" fillId="24" borderId="80" xfId="59" applyFont="1" applyFill="1" applyBorder="1"/>
    <xf numFmtId="171" fontId="0" fillId="0" borderId="0" xfId="59" applyNumberFormat="1" applyFont="1" applyBorder="1" applyAlignment="1">
      <alignment horizontal="right"/>
    </xf>
    <xf numFmtId="0" fontId="0" fillId="0" borderId="65" xfId="0" applyFont="1" applyFill="1" applyBorder="1"/>
    <xf numFmtId="171" fontId="45" fillId="0" borderId="0" xfId="59" applyNumberFormat="1" applyFont="1" applyBorder="1"/>
    <xf numFmtId="39" fontId="2" fillId="0" borderId="0" xfId="0" applyNumberFormat="1" applyFont="1" applyFill="1" applyBorder="1" applyAlignment="1">
      <alignment horizontal="right"/>
    </xf>
    <xf numFmtId="165" fontId="0" fillId="0" borderId="47" xfId="59" applyFont="1" applyFill="1" applyBorder="1"/>
    <xf numFmtId="165" fontId="0" fillId="0" borderId="90" xfId="59" applyFont="1" applyFill="1" applyBorder="1"/>
    <xf numFmtId="165" fontId="0" fillId="0" borderId="51" xfId="59" applyFont="1" applyFill="1" applyBorder="1"/>
    <xf numFmtId="165" fontId="0" fillId="0" borderId="55" xfId="59" applyFont="1" applyFill="1" applyBorder="1"/>
    <xf numFmtId="165" fontId="5" fillId="0" borderId="0" xfId="0" applyNumberFormat="1" applyFont="1" applyFill="1"/>
    <xf numFmtId="165" fontId="0" fillId="0" borderId="38" xfId="0" applyNumberFormat="1" applyFont="1" applyFill="1" applyBorder="1"/>
    <xf numFmtId="165" fontId="0" fillId="0" borderId="38" xfId="59" applyFont="1" applyFill="1" applyBorder="1"/>
    <xf numFmtId="171" fontId="0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center"/>
    </xf>
    <xf numFmtId="171" fontId="0" fillId="0" borderId="0" xfId="59" applyNumberFormat="1" applyFont="1"/>
    <xf numFmtId="172" fontId="1" fillId="0" borderId="5" xfId="63" applyNumberFormat="1" applyFont="1" applyBorder="1"/>
    <xf numFmtId="171" fontId="0" fillId="0" borderId="0" xfId="59" applyNumberFormat="1" applyFont="1" applyBorder="1"/>
    <xf numFmtId="0" fontId="0" fillId="0" borderId="0" xfId="70" applyFont="1" applyFill="1" applyBorder="1" applyAlignment="1">
      <alignment horizontal="left"/>
      <protection/>
    </xf>
    <xf numFmtId="171" fontId="0" fillId="0" borderId="0" xfId="0" applyNumberFormat="1" applyFont="1" applyFill="1" applyBorder="1" applyAlignment="1">
      <alignment vertical="center"/>
    </xf>
    <xf numFmtId="0" fontId="0" fillId="0" borderId="0" xfId="70" applyFont="1" applyFill="1" applyBorder="1">
      <alignment/>
      <protection/>
    </xf>
    <xf numFmtId="171" fontId="1" fillId="0" borderId="0" xfId="0" applyNumberFormat="1" applyFont="1" applyBorder="1"/>
    <xf numFmtId="171" fontId="1" fillId="0" borderId="0" xfId="0" applyNumberFormat="1" applyFont="1" applyFill="1" applyBorder="1" applyAlignment="1">
      <alignment horizontal="center" vertical="center" wrapText="1"/>
    </xf>
    <xf numFmtId="171" fontId="1" fillId="0" borderId="0" xfId="59" applyNumberFormat="1" applyFont="1" applyBorder="1"/>
    <xf numFmtId="171" fontId="0" fillId="0" borderId="0" xfId="0" applyNumberFormat="1" applyBorder="1"/>
    <xf numFmtId="0" fontId="0" fillId="0" borderId="0" xfId="0" applyFont="1" applyBorder="1"/>
    <xf numFmtId="0" fontId="46" fillId="0" borderId="0" xfId="0" applyFont="1" applyFill="1"/>
    <xf numFmtId="0" fontId="46" fillId="0" borderId="0" xfId="0" applyFont="1" applyFill="1" applyBorder="1"/>
    <xf numFmtId="4" fontId="47" fillId="0" borderId="0" xfId="0" applyNumberFormat="1" applyFont="1" applyFill="1" applyBorder="1"/>
    <xf numFmtId="40" fontId="35" fillId="0" borderId="91" xfId="0" applyNumberFormat="1" applyFont="1" applyBorder="1"/>
    <xf numFmtId="0" fontId="0" fillId="0" borderId="77" xfId="0" applyFont="1" applyFill="1" applyBorder="1"/>
    <xf numFmtId="0" fontId="0" fillId="0" borderId="92" xfId="0" applyFont="1" applyFill="1" applyBorder="1"/>
    <xf numFmtId="171" fontId="0" fillId="0" borderId="77" xfId="59" applyNumberFormat="1" applyFont="1" applyFill="1" applyBorder="1"/>
    <xf numFmtId="165" fontId="0" fillId="0" borderId="93" xfId="59" applyFont="1" applyFill="1" applyBorder="1"/>
    <xf numFmtId="165" fontId="0" fillId="27" borderId="77" xfId="59" applyFont="1" applyFill="1" applyBorder="1"/>
    <xf numFmtId="165" fontId="0" fillId="0" borderId="94" xfId="59" applyFont="1" applyFill="1" applyBorder="1"/>
    <xf numFmtId="165" fontId="0" fillId="0" borderId="61" xfId="59" applyFont="1" applyFill="1" applyBorder="1"/>
    <xf numFmtId="165" fontId="0" fillId="0" borderId="60" xfId="59" applyFont="1" applyFill="1" applyBorder="1"/>
    <xf numFmtId="43" fontId="0" fillId="0" borderId="79" xfId="63" applyFill="1" applyBorder="1"/>
    <xf numFmtId="10" fontId="37" fillId="26" borderId="19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0" xfId="68">
      <alignment/>
      <protection/>
    </xf>
    <xf numFmtId="43" fontId="1" fillId="0" borderId="95" xfId="64" applyNumberFormat="1" applyFont="1" applyFill="1" applyBorder="1" applyAlignment="1">
      <alignment horizontal="left"/>
    </xf>
    <xf numFmtId="43" fontId="2" fillId="0" borderId="96" xfId="64" applyNumberFormat="1" applyFont="1" applyBorder="1" applyAlignment="1">
      <alignment horizontal="center"/>
    </xf>
    <xf numFmtId="0" fontId="0" fillId="0" borderId="93" xfId="68" applyBorder="1">
      <alignment/>
      <protection/>
    </xf>
    <xf numFmtId="10" fontId="0" fillId="0" borderId="96" xfId="68" applyNumberFormat="1" applyBorder="1">
      <alignment/>
      <protection/>
    </xf>
    <xf numFmtId="10" fontId="0" fillId="0" borderId="97" xfId="68" applyNumberFormat="1" applyBorder="1">
      <alignment/>
      <protection/>
    </xf>
    <xf numFmtId="43" fontId="1" fillId="0" borderId="90" xfId="64" applyNumberFormat="1" applyFont="1" applyFill="1" applyBorder="1" applyAlignment="1">
      <alignment horizontal="left"/>
    </xf>
    <xf numFmtId="43" fontId="0" fillId="0" borderId="69" xfId="64" applyNumberFormat="1" applyFill="1" applyBorder="1"/>
    <xf numFmtId="165" fontId="1" fillId="0" borderId="65" xfId="62" applyFont="1" applyFill="1" applyBorder="1" applyAlignment="1">
      <alignment horizontal="left"/>
    </xf>
    <xf numFmtId="0" fontId="0" fillId="0" borderId="69" xfId="68" applyFill="1" applyBorder="1">
      <alignment/>
      <protection/>
    </xf>
    <xf numFmtId="43" fontId="1" fillId="0" borderId="66" xfId="64" applyNumberFormat="1" applyFont="1" applyFill="1" applyBorder="1" applyAlignment="1">
      <alignment horizontal="center"/>
    </xf>
    <xf numFmtId="0" fontId="0" fillId="0" borderId="98" xfId="68" applyBorder="1">
      <alignment/>
      <protection/>
    </xf>
    <xf numFmtId="43" fontId="0" fillId="0" borderId="69" xfId="64" applyNumberFormat="1" applyFont="1" applyFill="1" applyBorder="1" applyAlignment="1">
      <alignment horizontal="center"/>
    </xf>
    <xf numFmtId="165" fontId="1" fillId="0" borderId="65" xfId="62" applyFont="1" applyFill="1" applyBorder="1"/>
    <xf numFmtId="0" fontId="0" fillId="0" borderId="99" xfId="68" applyBorder="1">
      <alignment/>
      <protection/>
    </xf>
    <xf numFmtId="43" fontId="0" fillId="0" borderId="38" xfId="64" applyNumberFormat="1" applyFill="1" applyBorder="1" applyAlignment="1">
      <alignment horizontal="center"/>
    </xf>
    <xf numFmtId="43" fontId="0" fillId="0" borderId="38" xfId="64" applyNumberFormat="1" applyFill="1" applyBorder="1"/>
    <xf numFmtId="43" fontId="0" fillId="0" borderId="38" xfId="64" applyNumberFormat="1" applyFont="1" applyFill="1" applyBorder="1" applyAlignment="1">
      <alignment horizontal="center"/>
    </xf>
    <xf numFmtId="0" fontId="0" fillId="0" borderId="100" xfId="68" applyBorder="1">
      <alignment/>
      <protection/>
    </xf>
    <xf numFmtId="43" fontId="0" fillId="0" borderId="101" xfId="64" applyNumberFormat="1" applyFill="1" applyBorder="1" applyAlignment="1">
      <alignment horizontal="center"/>
    </xf>
    <xf numFmtId="43" fontId="0" fillId="0" borderId="101" xfId="64" applyNumberFormat="1" applyFill="1" applyBorder="1"/>
    <xf numFmtId="0" fontId="0" fillId="0" borderId="0" xfId="68" applyFill="1" applyBorder="1">
      <alignment/>
      <protection/>
    </xf>
    <xf numFmtId="0" fontId="0" fillId="0" borderId="0" xfId="68" applyBorder="1">
      <alignment/>
      <protection/>
    </xf>
    <xf numFmtId="0" fontId="49" fillId="0" borderId="0" xfId="0" applyFont="1" applyFill="1" applyAlignment="1">
      <alignment horizontal="center"/>
    </xf>
    <xf numFmtId="0" fontId="50" fillId="0" borderId="0" xfId="0" applyFont="1" applyFill="1"/>
    <xf numFmtId="0" fontId="50" fillId="0" borderId="0" xfId="0" applyFont="1" applyFill="1" applyBorder="1"/>
    <xf numFmtId="171" fontId="50" fillId="0" borderId="0" xfId="59" applyNumberFormat="1" applyFont="1" applyFill="1"/>
    <xf numFmtId="165" fontId="50" fillId="0" borderId="0" xfId="0" applyNumberFormat="1" applyFont="1" applyFill="1" applyBorder="1"/>
    <xf numFmtId="168" fontId="50" fillId="0" borderId="0" xfId="77" applyNumberFormat="1" applyFont="1" applyFill="1"/>
    <xf numFmtId="165" fontId="50" fillId="0" borderId="0" xfId="59" applyFont="1" applyFill="1"/>
    <xf numFmtId="165" fontId="50" fillId="0" borderId="0" xfId="59" applyFont="1" applyFill="1" applyBorder="1"/>
    <xf numFmtId="170" fontId="49" fillId="0" borderId="0" xfId="0" applyNumberFormat="1" applyFont="1" applyFill="1" applyBorder="1"/>
    <xf numFmtId="0" fontId="12" fillId="0" borderId="0" xfId="0" applyFont="1"/>
    <xf numFmtId="165" fontId="12" fillId="0" borderId="53" xfId="59" applyFont="1" applyFill="1" applyBorder="1" applyAlignment="1">
      <alignment horizontal="left"/>
    </xf>
    <xf numFmtId="0" fontId="12" fillId="0" borderId="38" xfId="0" applyFont="1" applyFill="1" applyBorder="1" applyAlignment="1">
      <alignment horizontal="center"/>
    </xf>
    <xf numFmtId="164" fontId="11" fillId="0" borderId="52" xfId="60" applyFont="1" applyFill="1" applyBorder="1" applyAlignment="1">
      <alignment horizontal="center"/>
    </xf>
    <xf numFmtId="165" fontId="12" fillId="0" borderId="38" xfId="59" applyFont="1" applyFill="1" applyBorder="1" applyAlignment="1">
      <alignment horizontal="left"/>
    </xf>
    <xf numFmtId="165" fontId="12" fillId="0" borderId="0" xfId="59" applyFont="1" applyFill="1" applyBorder="1" applyAlignment="1">
      <alignment horizontal="left"/>
    </xf>
    <xf numFmtId="0" fontId="12" fillId="0" borderId="69" xfId="0" applyFont="1" applyFill="1" applyBorder="1" applyAlignment="1">
      <alignment horizontal="center"/>
    </xf>
    <xf numFmtId="165" fontId="12" fillId="0" borderId="102" xfId="59" applyFont="1" applyFill="1" applyBorder="1" applyAlignment="1">
      <alignment horizontal="left"/>
    </xf>
    <xf numFmtId="2" fontId="12" fillId="0" borderId="69" xfId="0" applyNumberFormat="1" applyFont="1" applyFill="1" applyBorder="1" applyAlignment="1">
      <alignment horizontal="center"/>
    </xf>
    <xf numFmtId="2" fontId="11" fillId="0" borderId="103" xfId="0" applyNumberFormat="1" applyFont="1" applyFill="1" applyBorder="1" applyAlignment="1">
      <alignment horizontal="center"/>
    </xf>
    <xf numFmtId="165" fontId="12" fillId="0" borderId="104" xfId="59" applyFont="1" applyFill="1" applyBorder="1" applyAlignment="1">
      <alignment horizontal="left"/>
    </xf>
    <xf numFmtId="0" fontId="12" fillId="0" borderId="101" xfId="0" applyFont="1" applyFill="1" applyBorder="1" applyAlignment="1">
      <alignment horizontal="center"/>
    </xf>
    <xf numFmtId="1" fontId="12" fillId="0" borderId="105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5" fontId="11" fillId="0" borderId="0" xfId="59" applyFont="1" applyFill="1" applyBorder="1"/>
    <xf numFmtId="165" fontId="12" fillId="0" borderId="0" xfId="59" applyFont="1" applyFill="1" applyBorder="1"/>
    <xf numFmtId="0" fontId="12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0" fillId="0" borderId="106" xfId="0" applyFont="1" applyFill="1" applyBorder="1"/>
    <xf numFmtId="171" fontId="0" fillId="0" borderId="106" xfId="59" applyNumberFormat="1" applyFont="1" applyFill="1" applyBorder="1"/>
    <xf numFmtId="165" fontId="0" fillId="0" borderId="106" xfId="59" applyFont="1" applyFill="1" applyBorder="1"/>
    <xf numFmtId="0" fontId="0" fillId="0" borderId="107" xfId="0" applyFont="1" applyFill="1" applyBorder="1"/>
    <xf numFmtId="0" fontId="12" fillId="0" borderId="0" xfId="0" applyFont="1" applyAlignment="1">
      <alignment horizontal="center"/>
    </xf>
    <xf numFmtId="3" fontId="12" fillId="0" borderId="0" xfId="59" applyNumberFormat="1" applyFont="1" applyFill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165" fontId="50" fillId="0" borderId="0" xfId="0" applyNumberFormat="1" applyFont="1" applyFill="1" applyAlignment="1">
      <alignment horizontal="center"/>
    </xf>
    <xf numFmtId="165" fontId="50" fillId="0" borderId="0" xfId="59" applyFont="1" applyFill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73" fontId="5" fillId="0" borderId="0" xfId="65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92" xfId="0" applyFill="1" applyBorder="1"/>
    <xf numFmtId="171" fontId="1" fillId="0" borderId="93" xfId="0" applyNumberFormat="1" applyFont="1" applyFill="1" applyBorder="1" applyAlignment="1">
      <alignment horizontal="center"/>
    </xf>
    <xf numFmtId="171" fontId="0" fillId="0" borderId="108" xfId="0" applyNumberFormat="1" applyFill="1" applyBorder="1"/>
    <xf numFmtId="0" fontId="0" fillId="0" borderId="11" xfId="0" applyFill="1" applyBorder="1" applyAlignment="1">
      <alignment horizontal="center" vertical="center" wrapText="1"/>
    </xf>
    <xf numFmtId="171" fontId="0" fillId="0" borderId="0" xfId="0" applyNumberFormat="1" applyFill="1" applyBorder="1" applyAlignment="1">
      <alignment horizontal="center" vertical="center" wrapText="1"/>
    </xf>
    <xf numFmtId="171" fontId="0" fillId="0" borderId="27" xfId="0" applyNumberFormat="1" applyFill="1" applyBorder="1" applyAlignment="1">
      <alignment horizontal="center" vertical="center" wrapText="1"/>
    </xf>
    <xf numFmtId="171" fontId="0" fillId="0" borderId="49" xfId="0" applyNumberFormat="1" applyFill="1" applyBorder="1" applyAlignment="1">
      <alignment horizontal="center" vertical="center" wrapText="1"/>
    </xf>
    <xf numFmtId="171" fontId="0" fillId="0" borderId="109" xfId="0" applyNumberFormat="1" applyFill="1" applyBorder="1" applyAlignment="1">
      <alignment horizontal="center" vertical="center" wrapText="1"/>
    </xf>
    <xf numFmtId="171" fontId="0" fillId="0" borderId="103" xfId="66" applyNumberFormat="1" applyFont="1" applyFill="1" applyBorder="1" applyAlignment="1">
      <alignment horizontal="center" vertical="center" wrapText="1"/>
    </xf>
    <xf numFmtId="171" fontId="0" fillId="0" borderId="56" xfId="66" applyNumberFormat="1" applyFill="1" applyBorder="1" applyAlignment="1">
      <alignment horizontal="center" vertical="center" wrapText="1"/>
    </xf>
    <xf numFmtId="171" fontId="0" fillId="0" borderId="53" xfId="0" applyNumberFormat="1" applyFill="1" applyBorder="1" applyAlignment="1">
      <alignment horizontal="center" vertical="center" wrapText="1"/>
    </xf>
    <xf numFmtId="171" fontId="0" fillId="0" borderId="82" xfId="0" applyNumberFormat="1" applyFill="1" applyBorder="1" applyAlignment="1">
      <alignment horizontal="center" vertical="center" wrapText="1"/>
    </xf>
    <xf numFmtId="171" fontId="0" fillId="0" borderId="57" xfId="66" applyNumberFormat="1" applyFill="1" applyBorder="1" applyAlignment="1">
      <alignment horizontal="center" vertical="center" wrapText="1"/>
    </xf>
    <xf numFmtId="171" fontId="0" fillId="0" borderId="110" xfId="0" applyNumberFormat="1" applyFill="1" applyBorder="1" applyAlignment="1">
      <alignment horizontal="center" vertical="center" wrapText="1"/>
    </xf>
    <xf numFmtId="171" fontId="0" fillId="0" borderId="88" xfId="0" applyNumberFormat="1" applyFill="1" applyBorder="1" applyAlignment="1">
      <alignment horizontal="center" vertical="center" wrapText="1"/>
    </xf>
    <xf numFmtId="171" fontId="0" fillId="0" borderId="36" xfId="66" applyNumberFormat="1" applyFont="1" applyFill="1" applyBorder="1" applyAlignment="1">
      <alignment horizontal="center" vertical="center" wrapText="1"/>
    </xf>
    <xf numFmtId="171" fontId="0" fillId="0" borderId="106" xfId="66" applyNumberFormat="1" applyFill="1" applyBorder="1" applyAlignment="1">
      <alignment horizontal="center" vertical="center" wrapText="1"/>
    </xf>
    <xf numFmtId="165" fontId="0" fillId="0" borderId="66" xfId="59" applyFont="1" applyFill="1" applyBorder="1"/>
    <xf numFmtId="9" fontId="12" fillId="0" borderId="0" xfId="77" applyFont="1" applyAlignment="1">
      <alignment horizontal="center"/>
    </xf>
    <xf numFmtId="171" fontId="0" fillId="0" borderId="109" xfId="66" applyNumberFormat="1" applyFont="1" applyFill="1" applyBorder="1" applyAlignment="1">
      <alignment vertical="center" wrapText="1"/>
    </xf>
    <xf numFmtId="171" fontId="0" fillId="0" borderId="82" xfId="66" applyNumberFormat="1" applyFont="1" applyFill="1" applyBorder="1" applyAlignment="1">
      <alignment vertical="center" wrapText="1"/>
    </xf>
    <xf numFmtId="171" fontId="0" fillId="0" borderId="88" xfId="66" applyNumberFormat="1" applyFont="1" applyFill="1" applyBorder="1" applyAlignment="1">
      <alignment vertical="center" wrapText="1"/>
    </xf>
    <xf numFmtId="170" fontId="0" fillId="0" borderId="111" xfId="66" applyNumberFormat="1" applyFont="1" applyFill="1" applyBorder="1" applyAlignment="1">
      <alignment vertical="center" wrapText="1"/>
    </xf>
    <xf numFmtId="170" fontId="0" fillId="0" borderId="38" xfId="66" applyNumberFormat="1" applyFont="1" applyFill="1" applyBorder="1" applyAlignment="1">
      <alignment vertical="center" wrapText="1"/>
    </xf>
    <xf numFmtId="170" fontId="0" fillId="0" borderId="78" xfId="66" applyNumberFormat="1" applyFont="1" applyFill="1" applyBorder="1" applyAlignment="1">
      <alignment vertical="center" wrapText="1"/>
    </xf>
    <xf numFmtId="0" fontId="1" fillId="0" borderId="19" xfId="0" applyFont="1" applyBorder="1"/>
    <xf numFmtId="0" fontId="6" fillId="0" borderId="19" xfId="0" applyFont="1" applyBorder="1" applyAlignment="1">
      <alignment horizontal="center"/>
    </xf>
    <xf numFmtId="0" fontId="0" fillId="0" borderId="19" xfId="0" applyBorder="1"/>
    <xf numFmtId="10" fontId="5" fillId="25" borderId="19" xfId="77" applyNumberFormat="1" applyFont="1" applyFill="1" applyBorder="1" applyAlignment="1">
      <alignment horizontal="center"/>
    </xf>
    <xf numFmtId="10" fontId="0" fillId="0" borderId="19" xfId="0" applyNumberFormat="1" applyFont="1" applyBorder="1" applyAlignment="1" quotePrefix="1">
      <alignment horizontal="center"/>
    </xf>
    <xf numFmtId="10" fontId="0" fillId="0" borderId="19" xfId="77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22" xfId="0" applyBorder="1"/>
    <xf numFmtId="43" fontId="0" fillId="0" borderId="30" xfId="63" applyNumberFormat="1" applyFont="1" applyFill="1" applyBorder="1"/>
    <xf numFmtId="0" fontId="7" fillId="0" borderId="74" xfId="0" applyFont="1" applyBorder="1" applyAlignment="1">
      <alignment horizontal="center"/>
    </xf>
    <xf numFmtId="10" fontId="0" fillId="0" borderId="74" xfId="0" applyNumberFormat="1" applyBorder="1"/>
    <xf numFmtId="0" fontId="0" fillId="0" borderId="25" xfId="0" applyBorder="1"/>
    <xf numFmtId="0" fontId="0" fillId="0" borderId="14" xfId="0" applyFill="1" applyBorder="1"/>
    <xf numFmtId="0" fontId="7" fillId="0" borderId="19" xfId="0" applyFont="1" applyFill="1" applyBorder="1" applyAlignment="1">
      <alignment horizontal="center"/>
    </xf>
    <xf numFmtId="0" fontId="0" fillId="0" borderId="29" xfId="0" applyFill="1" applyBorder="1"/>
    <xf numFmtId="0" fontId="0" fillId="0" borderId="74" xfId="0" applyFill="1" applyBorder="1"/>
    <xf numFmtId="0" fontId="0" fillId="0" borderId="112" xfId="0" applyBorder="1"/>
    <xf numFmtId="173" fontId="0" fillId="0" borderId="22" xfId="61" applyNumberFormat="1" applyFont="1" applyBorder="1"/>
    <xf numFmtId="173" fontId="0" fillId="0" borderId="89" xfId="61" applyNumberFormat="1" applyFont="1" applyBorder="1"/>
    <xf numFmtId="0" fontId="0" fillId="0" borderId="17" xfId="0" applyBorder="1" applyAlignment="1">
      <alignment horizontal="center"/>
    </xf>
    <xf numFmtId="0" fontId="1" fillId="0" borderId="113" xfId="0" applyFont="1" applyBorder="1"/>
    <xf numFmtId="0" fontId="0" fillId="0" borderId="41" xfId="0" applyBorder="1" applyAlignment="1">
      <alignment horizontal="center"/>
    </xf>
    <xf numFmtId="0" fontId="1" fillId="24" borderId="14" xfId="0" applyFont="1" applyFill="1" applyBorder="1"/>
    <xf numFmtId="0" fontId="0" fillId="24" borderId="19" xfId="0" applyFill="1" applyBorder="1" applyAlignment="1">
      <alignment horizontal="center"/>
    </xf>
    <xf numFmtId="0" fontId="0" fillId="24" borderId="114" xfId="0" applyFill="1" applyBorder="1"/>
    <xf numFmtId="0" fontId="0" fillId="0" borderId="114" xfId="0" applyFont="1" applyBorder="1"/>
    <xf numFmtId="0" fontId="0" fillId="0" borderId="114" xfId="0" applyBorder="1"/>
    <xf numFmtId="0" fontId="1" fillId="24" borderId="113" xfId="0" applyFont="1" applyFill="1" applyBorder="1" applyAlignment="1">
      <alignment horizontal="left" vertical="justify"/>
    </xf>
    <xf numFmtId="0" fontId="6" fillId="24" borderId="14" xfId="0" applyFont="1" applyFill="1" applyBorder="1"/>
    <xf numFmtId="0" fontId="0" fillId="24" borderId="114" xfId="0" applyFont="1" applyFill="1" applyBorder="1"/>
    <xf numFmtId="0" fontId="1" fillId="24" borderId="35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1" fillId="0" borderId="26" xfId="0" applyFont="1" applyBorder="1"/>
    <xf numFmtId="1" fontId="12" fillId="0" borderId="75" xfId="0" applyNumberFormat="1" applyFont="1" applyBorder="1"/>
    <xf numFmtId="0" fontId="0" fillId="0" borderId="36" xfId="0" applyFont="1" applyBorder="1"/>
    <xf numFmtId="0" fontId="1" fillId="0" borderId="27" xfId="0" applyFont="1" applyBorder="1" applyAlignment="1">
      <alignment horizontal="right"/>
    </xf>
    <xf numFmtId="175" fontId="0" fillId="0" borderId="19" xfId="61" applyNumberFormat="1" applyFont="1" applyBorder="1"/>
    <xf numFmtId="175" fontId="0" fillId="0" borderId="67" xfId="61" applyNumberFormat="1" applyFont="1" applyBorder="1"/>
    <xf numFmtId="0" fontId="12" fillId="0" borderId="27" xfId="0" applyFont="1" applyFill="1" applyBorder="1"/>
    <xf numFmtId="2" fontId="12" fillId="0" borderId="76" xfId="0" applyNumberFormat="1" applyFont="1" applyBorder="1"/>
    <xf numFmtId="10" fontId="0" fillId="0" borderId="20" xfId="77" applyNumberFormat="1" applyFont="1" applyBorder="1" applyAlignment="1" applyProtection="1">
      <alignment horizontal="center"/>
      <protection locked="0"/>
    </xf>
    <xf numFmtId="180" fontId="37" fillId="26" borderId="19" xfId="59" applyNumberFormat="1" applyFont="1" applyFill="1" applyBorder="1" applyAlignment="1">
      <alignment horizontal="center"/>
    </xf>
    <xf numFmtId="165" fontId="1" fillId="0" borderId="65" xfId="62" applyNumberFormat="1" applyFont="1" applyFill="1" applyBorder="1"/>
    <xf numFmtId="43" fontId="0" fillId="0" borderId="38" xfId="63" applyFont="1" applyFill="1" applyBorder="1"/>
    <xf numFmtId="165" fontId="0" fillId="0" borderId="38" xfId="59" applyFont="1" applyFill="1" applyBorder="1" applyAlignment="1">
      <alignment horizontal="right"/>
    </xf>
    <xf numFmtId="2" fontId="0" fillId="0" borderId="38" xfId="63" applyNumberFormat="1" applyFont="1" applyFill="1" applyBorder="1"/>
    <xf numFmtId="180" fontId="0" fillId="0" borderId="69" xfId="59" applyNumberFormat="1" applyFont="1" applyFill="1" applyBorder="1"/>
    <xf numFmtId="43" fontId="0" fillId="0" borderId="38" xfId="63" applyFont="1" applyFill="1" applyBorder="1"/>
    <xf numFmtId="178" fontId="0" fillId="0" borderId="0" xfId="0" applyNumberFormat="1"/>
    <xf numFmtId="0" fontId="0" fillId="0" borderId="88" xfId="0" applyFont="1" applyFill="1" applyBorder="1"/>
    <xf numFmtId="0" fontId="1" fillId="0" borderId="0" xfId="0" applyFont="1" applyAlignment="1">
      <alignment horizontal="center"/>
    </xf>
    <xf numFmtId="9" fontId="35" fillId="0" borderId="91" xfId="77" applyNumberFormat="1" applyFont="1" applyBorder="1"/>
    <xf numFmtId="43" fontId="35" fillId="28" borderId="19" xfId="63" applyFont="1" applyFill="1" applyBorder="1" applyAlignment="1">
      <alignment horizontal="right"/>
    </xf>
    <xf numFmtId="43" fontId="35" fillId="28" borderId="72" xfId="63" applyFont="1" applyFill="1" applyBorder="1" applyAlignment="1">
      <alignment horizontal="right"/>
    </xf>
    <xf numFmtId="0" fontId="2" fillId="0" borderId="14" xfId="0" applyFont="1" applyBorder="1"/>
    <xf numFmtId="0" fontId="35" fillId="28" borderId="14" xfId="0" applyFont="1" applyFill="1" applyBorder="1"/>
    <xf numFmtId="43" fontId="35" fillId="28" borderId="67" xfId="63" applyFont="1" applyFill="1" applyBorder="1" applyAlignment="1">
      <alignment horizontal="right"/>
    </xf>
    <xf numFmtId="165" fontId="35" fillId="28" borderId="14" xfId="0" applyNumberFormat="1" applyFont="1" applyFill="1" applyBorder="1"/>
    <xf numFmtId="165" fontId="35" fillId="28" borderId="14" xfId="59" applyFont="1" applyFill="1" applyBorder="1"/>
    <xf numFmtId="165" fontId="2" fillId="24" borderId="14" xfId="59" applyFont="1" applyFill="1" applyBorder="1"/>
    <xf numFmtId="4" fontId="35" fillId="28" borderId="14" xfId="0" applyNumberFormat="1" applyFont="1" applyFill="1" applyBorder="1"/>
    <xf numFmtId="165" fontId="35" fillId="28" borderId="67" xfId="59" applyFont="1" applyFill="1" applyBorder="1"/>
    <xf numFmtId="4" fontId="2" fillId="28" borderId="36" xfId="0" applyNumberFormat="1" applyFont="1" applyFill="1" applyBorder="1" applyAlignment="1">
      <alignment horizontal="center"/>
    </xf>
    <xf numFmtId="4" fontId="35" fillId="0" borderId="14" xfId="0" applyNumberFormat="1" applyFont="1" applyFill="1" applyBorder="1" applyAlignment="1">
      <alignment horizontal="left" wrapText="1"/>
    </xf>
    <xf numFmtId="4" fontId="2" fillId="28" borderId="75" xfId="0" applyNumberFormat="1" applyFont="1" applyFill="1" applyBorder="1" applyAlignment="1">
      <alignment horizontal="center"/>
    </xf>
    <xf numFmtId="4" fontId="35" fillId="28" borderId="35" xfId="0" applyNumberFormat="1" applyFont="1" applyFill="1" applyBorder="1"/>
    <xf numFmtId="43" fontId="35" fillId="28" borderId="22" xfId="63" applyFont="1" applyFill="1" applyBorder="1" applyAlignment="1">
      <alignment horizontal="right"/>
    </xf>
    <xf numFmtId="4" fontId="2" fillId="28" borderId="105" xfId="0" applyNumberFormat="1" applyFont="1" applyFill="1" applyBorder="1" applyAlignment="1">
      <alignment horizontal="center"/>
    </xf>
    <xf numFmtId="9" fontId="37" fillId="26" borderId="19" xfId="77" applyNumberFormat="1" applyFont="1" applyFill="1" applyBorder="1" applyAlignment="1">
      <alignment horizontal="center"/>
    </xf>
    <xf numFmtId="43" fontId="49" fillId="29" borderId="22" xfId="68" applyNumberFormat="1" applyFont="1" applyFill="1" applyBorder="1" applyAlignment="1">
      <alignment horizontal="center" vertical="center" wrapText="1"/>
      <protection/>
    </xf>
    <xf numFmtId="49" fontId="1" fillId="0" borderId="77" xfId="68" applyNumberFormat="1" applyFont="1" applyFill="1" applyBorder="1" applyAlignment="1">
      <alignment horizontal="center"/>
      <protection/>
    </xf>
    <xf numFmtId="43" fontId="1" fillId="0" borderId="66" xfId="64" applyNumberFormat="1" applyFont="1" applyFill="1" applyBorder="1"/>
    <xf numFmtId="43" fontId="1" fillId="0" borderId="57" xfId="64" applyNumberFormat="1" applyFont="1" applyFill="1" applyBorder="1"/>
    <xf numFmtId="43" fontId="1" fillId="0" borderId="58" xfId="64" applyNumberFormat="1" applyFont="1" applyFill="1" applyBorder="1"/>
    <xf numFmtId="0" fontId="0" fillId="0" borderId="115" xfId="68" applyFill="1" applyBorder="1">
      <alignment/>
      <protection/>
    </xf>
    <xf numFmtId="0" fontId="0" fillId="0" borderId="37" xfId="68" applyBorder="1" applyAlignment="1">
      <alignment horizontal="center"/>
      <protection/>
    </xf>
    <xf numFmtId="165" fontId="1" fillId="0" borderId="37" xfId="62" applyFont="1" applyFill="1" applyBorder="1"/>
    <xf numFmtId="43" fontId="0" fillId="0" borderId="37" xfId="64" applyNumberFormat="1" applyFill="1" applyBorder="1"/>
    <xf numFmtId="0" fontId="0" fillId="0" borderId="96" xfId="68" applyFill="1" applyBorder="1" applyAlignment="1">
      <alignment horizontal="center"/>
      <protection/>
    </xf>
    <xf numFmtId="0" fontId="0" fillId="0" borderId="96" xfId="68" applyFill="1" applyBorder="1">
      <alignment/>
      <protection/>
    </xf>
    <xf numFmtId="0" fontId="0" fillId="0" borderId="97" xfId="68" applyFill="1" applyBorder="1">
      <alignment/>
      <protection/>
    </xf>
    <xf numFmtId="43" fontId="49" fillId="29" borderId="95" xfId="64" applyNumberFormat="1" applyFont="1" applyFill="1" applyBorder="1" applyAlignment="1">
      <alignment horizontal="left"/>
    </xf>
    <xf numFmtId="43" fontId="49" fillId="29" borderId="96" xfId="64" applyNumberFormat="1" applyFont="1" applyFill="1" applyBorder="1" applyAlignment="1">
      <alignment horizontal="left"/>
    </xf>
    <xf numFmtId="43" fontId="49" fillId="29" borderId="116" xfId="64" applyNumberFormat="1" applyFont="1" applyFill="1" applyBorder="1" applyAlignment="1">
      <alignment horizontal="left"/>
    </xf>
    <xf numFmtId="0" fontId="50" fillId="29" borderId="96" xfId="68" applyFont="1" applyFill="1" applyBorder="1">
      <alignment/>
      <protection/>
    </xf>
    <xf numFmtId="43" fontId="49" fillId="29" borderId="77" xfId="64" applyNumberFormat="1" applyFont="1" applyFill="1" applyBorder="1" applyAlignment="1">
      <alignment horizontal="center"/>
    </xf>
    <xf numFmtId="43" fontId="1" fillId="0" borderId="105" xfId="64" applyNumberFormat="1" applyFont="1" applyFill="1" applyBorder="1"/>
    <xf numFmtId="9" fontId="0" fillId="0" borderId="96" xfId="78" applyNumberFormat="1" applyBorder="1"/>
    <xf numFmtId="165" fontId="6" fillId="0" borderId="0" xfId="59" applyFont="1" applyBorder="1"/>
    <xf numFmtId="171" fontId="49" fillId="29" borderId="117" xfId="0" applyNumberFormat="1" applyFont="1" applyFill="1" applyBorder="1" applyAlignment="1">
      <alignment horizontal="center" vertical="center" wrapText="1"/>
    </xf>
    <xf numFmtId="171" fontId="49" fillId="29" borderId="23" xfId="0" applyNumberFormat="1" applyFont="1" applyFill="1" applyBorder="1" applyAlignment="1">
      <alignment horizontal="center" vertical="center" wrapText="1"/>
    </xf>
    <xf numFmtId="171" fontId="49" fillId="29" borderId="115" xfId="0" applyNumberFormat="1" applyFont="1" applyFill="1" applyBorder="1" applyAlignment="1">
      <alignment horizontal="center" vertical="center" wrapText="1"/>
    </xf>
    <xf numFmtId="171" fontId="49" fillId="29" borderId="73" xfId="0" applyNumberFormat="1" applyFont="1" applyFill="1" applyBorder="1" applyAlignment="1">
      <alignment horizontal="center" vertical="center" wrapText="1"/>
    </xf>
    <xf numFmtId="171" fontId="49" fillId="29" borderId="105" xfId="0" applyNumberFormat="1" applyFont="1" applyFill="1" applyBorder="1" applyAlignment="1">
      <alignment horizontal="center" vertical="center" wrapText="1"/>
    </xf>
    <xf numFmtId="0" fontId="48" fillId="29" borderId="92" xfId="0" applyFont="1" applyFill="1" applyBorder="1" applyAlignment="1">
      <alignment horizontal="center" vertical="center" wrapText="1"/>
    </xf>
    <xf numFmtId="171" fontId="48" fillId="29" borderId="93" xfId="0" applyNumberFormat="1" applyFont="1" applyFill="1" applyBorder="1" applyAlignment="1">
      <alignment horizontal="center" vertical="center" wrapText="1"/>
    </xf>
    <xf numFmtId="170" fontId="48" fillId="29" borderId="96" xfId="0" applyNumberFormat="1" applyFont="1" applyFill="1" applyBorder="1" applyAlignment="1">
      <alignment vertical="center" wrapText="1"/>
    </xf>
    <xf numFmtId="171" fontId="48" fillId="29" borderId="118" xfId="0" applyNumberFormat="1" applyFont="1" applyFill="1" applyBorder="1" applyAlignment="1">
      <alignment vertical="center" wrapText="1"/>
    </xf>
    <xf numFmtId="171" fontId="48" fillId="29" borderId="97" xfId="0" applyNumberFormat="1" applyFont="1" applyFill="1" applyBorder="1" applyAlignment="1">
      <alignment vertical="center" wrapText="1"/>
    </xf>
    <xf numFmtId="37" fontId="52" fillId="29" borderId="77" xfId="0" applyNumberFormat="1" applyFont="1" applyFill="1" applyBorder="1"/>
    <xf numFmtId="0" fontId="1" fillId="0" borderId="90" xfId="0" applyFont="1" applyBorder="1"/>
    <xf numFmtId="0" fontId="0" fillId="0" borderId="51" xfId="0" applyFill="1" applyBorder="1"/>
    <xf numFmtId="0" fontId="1" fillId="0" borderId="51" xfId="0" applyFont="1" applyBorder="1"/>
    <xf numFmtId="165" fontId="0" fillId="0" borderId="51" xfId="59" applyFont="1" applyFill="1" applyBorder="1"/>
    <xf numFmtId="165" fontId="1" fillId="24" borderId="51" xfId="59" applyFont="1" applyFill="1" applyBorder="1"/>
    <xf numFmtId="4" fontId="0" fillId="0" borderId="51" xfId="0" applyNumberFormat="1" applyFill="1" applyBorder="1"/>
    <xf numFmtId="4" fontId="0" fillId="0" borderId="51" xfId="0" applyNumberFormat="1" applyFont="1" applyFill="1" applyBorder="1"/>
    <xf numFmtId="4" fontId="0" fillId="0" borderId="55" xfId="0" applyNumberFormat="1" applyFont="1" applyFill="1" applyBorder="1"/>
    <xf numFmtId="0" fontId="53" fillId="29" borderId="15" xfId="0" applyFont="1" applyFill="1" applyBorder="1" applyAlignment="1">
      <alignment horizontal="center"/>
    </xf>
    <xf numFmtId="39" fontId="35" fillId="0" borderId="66" xfId="0" applyNumberFormat="1" applyFont="1" applyFill="1" applyBorder="1"/>
    <xf numFmtId="39" fontId="35" fillId="0" borderId="57" xfId="0" applyNumberFormat="1" applyFont="1" applyFill="1" applyBorder="1"/>
    <xf numFmtId="39" fontId="35" fillId="0" borderId="58" xfId="0" applyNumberFormat="1" applyFont="1" applyFill="1" applyBorder="1"/>
    <xf numFmtId="165" fontId="44" fillId="0" borderId="65" xfId="59" applyFont="1" applyFill="1" applyBorder="1"/>
    <xf numFmtId="165" fontId="44" fillId="0" borderId="64" xfId="59" applyFont="1" applyFill="1" applyBorder="1"/>
    <xf numFmtId="171" fontId="44" fillId="0" borderId="64" xfId="59" applyNumberFormat="1" applyFont="1" applyFill="1" applyBorder="1" applyAlignment="1">
      <alignment/>
    </xf>
    <xf numFmtId="171" fontId="35" fillId="0" borderId="64" xfId="59" applyNumberFormat="1" applyFont="1" applyFill="1" applyBorder="1" applyAlignment="1">
      <alignment/>
    </xf>
    <xf numFmtId="165" fontId="44" fillId="0" borderId="63" xfId="59" applyFont="1" applyFill="1" applyBorder="1"/>
    <xf numFmtId="0" fontId="1" fillId="0" borderId="51" xfId="0" applyFont="1" applyFill="1" applyBorder="1"/>
    <xf numFmtId="165" fontId="0" fillId="0" borderId="51" xfId="0" applyNumberFormat="1" applyFont="1" applyFill="1" applyBorder="1"/>
    <xf numFmtId="2" fontId="35" fillId="0" borderId="63" xfId="0" applyNumberFormat="1" applyFont="1" applyFill="1" applyBorder="1" applyAlignment="1">
      <alignment horizontal="center"/>
    </xf>
    <xf numFmtId="4" fontId="0" fillId="24" borderId="95" xfId="0" applyNumberFormat="1" applyFill="1" applyBorder="1"/>
    <xf numFmtId="39" fontId="48" fillId="29" borderId="96" xfId="0" applyNumberFormat="1" applyFont="1" applyFill="1" applyBorder="1"/>
    <xf numFmtId="39" fontId="48" fillId="29" borderId="96" xfId="0" applyNumberFormat="1" applyFont="1" applyFill="1" applyBorder="1" applyAlignment="1">
      <alignment horizontal="center"/>
    </xf>
    <xf numFmtId="0" fontId="0" fillId="0" borderId="119" xfId="0" applyFont="1" applyFill="1" applyBorder="1"/>
    <xf numFmtId="171" fontId="35" fillId="0" borderId="57" xfId="0" applyNumberFormat="1" applyFont="1" applyFill="1" applyBorder="1"/>
    <xf numFmtId="0" fontId="0" fillId="0" borderId="120" xfId="0" applyFont="1" applyFill="1" applyBorder="1"/>
    <xf numFmtId="171" fontId="35" fillId="0" borderId="58" xfId="0" applyNumberFormat="1" applyFont="1" applyFill="1" applyBorder="1"/>
    <xf numFmtId="0" fontId="35" fillId="0" borderId="57" xfId="0" applyFont="1" applyFill="1" applyBorder="1" applyAlignment="1">
      <alignment horizontal="center"/>
    </xf>
    <xf numFmtId="165" fontId="35" fillId="0" borderId="57" xfId="0" applyNumberFormat="1" applyFont="1" applyFill="1" applyBorder="1" applyAlignment="1">
      <alignment horizontal="right"/>
    </xf>
    <xf numFmtId="165" fontId="35" fillId="0" borderId="58" xfId="0" applyNumberFormat="1" applyFont="1" applyFill="1" applyBorder="1" applyAlignment="1">
      <alignment horizontal="right"/>
    </xf>
    <xf numFmtId="0" fontId="49" fillId="29" borderId="121" xfId="0" applyFont="1" applyFill="1" applyBorder="1" applyAlignment="1">
      <alignment horizontal="center"/>
    </xf>
    <xf numFmtId="0" fontId="49" fillId="29" borderId="118" xfId="0" applyFont="1" applyFill="1" applyBorder="1" applyAlignment="1">
      <alignment horizontal="center"/>
    </xf>
    <xf numFmtId="0" fontId="49" fillId="29" borderId="95" xfId="0" applyFont="1" applyFill="1" applyBorder="1" applyAlignment="1">
      <alignment horizontal="center"/>
    </xf>
    <xf numFmtId="0" fontId="49" fillId="29" borderId="122" xfId="0" applyFont="1" applyFill="1" applyBorder="1" applyAlignment="1">
      <alignment horizontal="center"/>
    </xf>
    <xf numFmtId="171" fontId="48" fillId="29" borderId="77" xfId="59" applyNumberFormat="1" applyFont="1" applyFill="1" applyBorder="1"/>
    <xf numFmtId="0" fontId="49" fillId="29" borderId="31" xfId="0" applyFont="1" applyFill="1" applyBorder="1" applyAlignment="1">
      <alignment horizontal="center"/>
    </xf>
    <xf numFmtId="0" fontId="49" fillId="29" borderId="94" xfId="0" applyFont="1" applyFill="1" applyBorder="1" applyAlignment="1">
      <alignment horizontal="center"/>
    </xf>
    <xf numFmtId="0" fontId="49" fillId="29" borderId="32" xfId="0" applyFont="1" applyFill="1" applyBorder="1" applyAlignment="1">
      <alignment horizontal="center"/>
    </xf>
    <xf numFmtId="0" fontId="49" fillId="29" borderId="77" xfId="0" applyFont="1" applyFill="1" applyBorder="1" applyAlignment="1">
      <alignment horizontal="center"/>
    </xf>
    <xf numFmtId="0" fontId="49" fillId="29" borderId="92" xfId="0" applyFont="1" applyFill="1" applyBorder="1" applyAlignment="1">
      <alignment horizontal="center"/>
    </xf>
    <xf numFmtId="0" fontId="49" fillId="29" borderId="93" xfId="0" applyFont="1" applyFill="1" applyBorder="1" applyAlignment="1">
      <alignment horizontal="center"/>
    </xf>
    <xf numFmtId="0" fontId="49" fillId="29" borderId="108" xfId="0" applyFont="1" applyFill="1" applyBorder="1" applyAlignment="1">
      <alignment horizontal="center"/>
    </xf>
    <xf numFmtId="0" fontId="50" fillId="29" borderId="93" xfId="0" applyFont="1" applyFill="1" applyBorder="1" applyAlignment="1">
      <alignment horizontal="center"/>
    </xf>
    <xf numFmtId="0" fontId="50" fillId="29" borderId="92" xfId="0" applyFont="1" applyFill="1" applyBorder="1" applyAlignment="1">
      <alignment horizontal="center"/>
    </xf>
    <xf numFmtId="3" fontId="48" fillId="29" borderId="77" xfId="0" applyNumberFormat="1" applyFont="1" applyFill="1" applyBorder="1"/>
    <xf numFmtId="0" fontId="50" fillId="29" borderId="77" xfId="0" applyFont="1" applyFill="1" applyBorder="1" applyAlignment="1">
      <alignment horizontal="center"/>
    </xf>
    <xf numFmtId="0" fontId="49" fillId="29" borderId="56" xfId="0" applyFont="1" applyFill="1" applyBorder="1"/>
    <xf numFmtId="0" fontId="49" fillId="29" borderId="57" xfId="0" applyFont="1" applyFill="1" applyBorder="1"/>
    <xf numFmtId="0" fontId="49" fillId="29" borderId="58" xfId="0" applyFont="1" applyFill="1" applyBorder="1"/>
    <xf numFmtId="165" fontId="49" fillId="29" borderId="77" xfId="59" applyFont="1" applyFill="1" applyBorder="1"/>
    <xf numFmtId="0" fontId="11" fillId="0" borderId="31" xfId="0" applyFont="1" applyBorder="1"/>
    <xf numFmtId="0" fontId="11" fillId="0" borderId="32" xfId="0" applyFont="1" applyBorder="1"/>
    <xf numFmtId="0" fontId="11" fillId="0" borderId="32" xfId="0" applyFont="1" applyBorder="1" applyAlignment="1">
      <alignment horizontal="center"/>
    </xf>
    <xf numFmtId="0" fontId="12" fillId="0" borderId="11" xfId="0" applyFont="1" applyBorder="1"/>
    <xf numFmtId="0" fontId="12" fillId="0" borderId="0" xfId="0" applyFont="1" applyBorder="1"/>
    <xf numFmtId="3" fontId="12" fillId="0" borderId="0" xfId="0" applyNumberFormat="1" applyFont="1" applyBorder="1" applyAlignment="1">
      <alignment horizontal="center"/>
    </xf>
    <xf numFmtId="0" fontId="12" fillId="0" borderId="13" xfId="0" applyFont="1" applyBorder="1"/>
    <xf numFmtId="0" fontId="12" fillId="0" borderId="12" xfId="0" applyFont="1" applyBorder="1"/>
    <xf numFmtId="3" fontId="11" fillId="0" borderId="32" xfId="0" applyNumberFormat="1" applyFont="1" applyBorder="1" applyAlignment="1">
      <alignment horizontal="center"/>
    </xf>
    <xf numFmtId="3" fontId="11" fillId="0" borderId="77" xfId="0" applyNumberFormat="1" applyFont="1" applyBorder="1" applyAlignment="1">
      <alignment horizontal="center"/>
    </xf>
    <xf numFmtId="0" fontId="11" fillId="0" borderId="94" xfId="0" applyFont="1" applyBorder="1" applyAlignment="1">
      <alignment horizontal="center"/>
    </xf>
    <xf numFmtId="3" fontId="12" fillId="0" borderId="120" xfId="59" applyNumberFormat="1" applyFont="1" applyFill="1" applyBorder="1" applyAlignment="1">
      <alignment horizontal="center"/>
    </xf>
    <xf numFmtId="3" fontId="11" fillId="0" borderId="94" xfId="0" applyNumberFormat="1" applyFont="1" applyBorder="1" applyAlignment="1">
      <alignment horizontal="center"/>
    </xf>
    <xf numFmtId="3" fontId="12" fillId="0" borderId="120" xfId="0" applyNumberFormat="1" applyFont="1" applyBorder="1" applyAlignment="1">
      <alignment horizontal="center"/>
    </xf>
    <xf numFmtId="0" fontId="12" fillId="0" borderId="120" xfId="0" applyFont="1" applyBorder="1" applyAlignment="1">
      <alignment horizontal="center"/>
    </xf>
    <xf numFmtId="0" fontId="12" fillId="0" borderId="117" xfId="0" applyFont="1" applyBorder="1" applyAlignment="1">
      <alignment horizontal="center"/>
    </xf>
    <xf numFmtId="3" fontId="53" fillId="29" borderId="77" xfId="0" applyNumberFormat="1" applyFont="1" applyFill="1" applyBorder="1" applyAlignment="1">
      <alignment horizontal="center"/>
    </xf>
    <xf numFmtId="0" fontId="53" fillId="29" borderId="77" xfId="0" applyFont="1" applyFill="1" applyBorder="1" applyAlignment="1">
      <alignment horizontal="center"/>
    </xf>
    <xf numFmtId="0" fontId="53" fillId="29" borderId="77" xfId="0" applyFont="1" applyFill="1" applyBorder="1" applyAlignment="1">
      <alignment horizontal="left" vertical="center" wrapText="1"/>
    </xf>
    <xf numFmtId="3" fontId="11" fillId="29" borderId="93" xfId="0" applyNumberFormat="1" applyFont="1" applyFill="1" applyBorder="1" applyAlignment="1">
      <alignment horizontal="center"/>
    </xf>
    <xf numFmtId="3" fontId="53" fillId="29" borderId="93" xfId="0" applyNumberFormat="1" applyFont="1" applyFill="1" applyBorder="1" applyAlignment="1">
      <alignment horizontal="center"/>
    </xf>
    <xf numFmtId="165" fontId="11" fillId="0" borderId="49" xfId="59" applyFont="1" applyFill="1" applyBorder="1" applyAlignment="1">
      <alignment horizontal="left"/>
    </xf>
    <xf numFmtId="0" fontId="12" fillId="0" borderId="111" xfId="0" applyFont="1" applyFill="1" applyBorder="1"/>
    <xf numFmtId="165" fontId="11" fillId="0" borderId="48" xfId="59" applyFont="1" applyFill="1" applyBorder="1"/>
    <xf numFmtId="165" fontId="11" fillId="0" borderId="53" xfId="59" applyFont="1" applyFill="1" applyBorder="1" applyAlignment="1">
      <alignment horizontal="left"/>
    </xf>
    <xf numFmtId="164" fontId="11" fillId="0" borderId="123" xfId="60" applyFont="1" applyFill="1" applyBorder="1" applyAlignment="1">
      <alignment horizontal="center"/>
    </xf>
    <xf numFmtId="165" fontId="40" fillId="26" borderId="95" xfId="59" applyFont="1" applyFill="1" applyBorder="1" applyAlignment="1">
      <alignment horizontal="left"/>
    </xf>
    <xf numFmtId="0" fontId="41" fillId="26" borderId="96" xfId="0" applyFont="1" applyFill="1" applyBorder="1" applyAlignment="1">
      <alignment horizontal="center"/>
    </xf>
    <xf numFmtId="0" fontId="40" fillId="26" borderId="96" xfId="0" applyFont="1" applyFill="1" applyBorder="1" applyAlignment="1">
      <alignment horizontal="center" vertical="center" wrapText="1"/>
    </xf>
    <xf numFmtId="0" fontId="40" fillId="26" borderId="97" xfId="0" applyFont="1" applyFill="1" applyBorder="1" applyAlignment="1">
      <alignment horizontal="center" vertical="center" wrapText="1"/>
    </xf>
    <xf numFmtId="0" fontId="49" fillId="29" borderId="16" xfId="0" applyFont="1" applyFill="1" applyBorder="1"/>
    <xf numFmtId="0" fontId="54" fillId="29" borderId="17" xfId="0" applyFont="1" applyFill="1" applyBorder="1" applyAlignment="1">
      <alignment horizontal="center"/>
    </xf>
    <xf numFmtId="0" fontId="49" fillId="29" borderId="17" xfId="0" applyFont="1" applyFill="1" applyBorder="1" applyAlignment="1">
      <alignment horizontal="center"/>
    </xf>
    <xf numFmtId="0" fontId="54" fillId="29" borderId="26" xfId="0" applyFont="1" applyFill="1" applyBorder="1" applyAlignment="1">
      <alignment horizontal="center"/>
    </xf>
    <xf numFmtId="0" fontId="50" fillId="29" borderId="14" xfId="0" applyFont="1" applyFill="1" applyBorder="1"/>
    <xf numFmtId="0" fontId="55" fillId="29" borderId="72" xfId="0" applyFont="1" applyFill="1" applyBorder="1" applyAlignment="1">
      <alignment horizontal="center"/>
    </xf>
    <xf numFmtId="10" fontId="50" fillId="29" borderId="19" xfId="78" applyNumberFormat="1" applyFont="1" applyFill="1" applyBorder="1" applyAlignment="1">
      <alignment horizontal="center"/>
    </xf>
    <xf numFmtId="10" fontId="50" fillId="29" borderId="24" xfId="78" applyNumberFormat="1" applyFont="1" applyFill="1" applyBorder="1" applyAlignment="1">
      <alignment horizontal="center"/>
    </xf>
    <xf numFmtId="10" fontId="50" fillId="29" borderId="67" xfId="78" applyNumberFormat="1" applyFont="1" applyFill="1" applyBorder="1" applyAlignment="1">
      <alignment horizontal="center"/>
    </xf>
    <xf numFmtId="10" fontId="50" fillId="29" borderId="19" xfId="0" applyNumberFormat="1" applyFont="1" applyFill="1" applyBorder="1" applyAlignment="1" quotePrefix="1">
      <alignment horizontal="center"/>
    </xf>
    <xf numFmtId="173" fontId="53" fillId="29" borderId="5" xfId="61" applyNumberFormat="1" applyFont="1" applyFill="1" applyBorder="1"/>
    <xf numFmtId="173" fontId="48" fillId="29" borderId="19" xfId="61" applyNumberFormat="1" applyFont="1" applyFill="1" applyBorder="1"/>
    <xf numFmtId="0" fontId="53" fillId="29" borderId="33" xfId="0" applyFont="1" applyFill="1" applyBorder="1" applyAlignment="1">
      <alignment horizontal="center"/>
    </xf>
    <xf numFmtId="0" fontId="50" fillId="29" borderId="34" xfId="0" applyFont="1" applyFill="1" applyBorder="1"/>
    <xf numFmtId="0" fontId="56" fillId="29" borderId="33" xfId="0" applyFont="1" applyFill="1" applyBorder="1"/>
    <xf numFmtId="0" fontId="56" fillId="29" borderId="34" xfId="0" applyFont="1" applyFill="1" applyBorder="1"/>
    <xf numFmtId="2" fontId="56" fillId="29" borderId="34" xfId="0" applyNumberFormat="1" applyFont="1" applyFill="1" applyBorder="1"/>
    <xf numFmtId="2" fontId="56" fillId="29" borderId="39" xfId="0" applyNumberFormat="1" applyFont="1" applyFill="1" applyBorder="1"/>
    <xf numFmtId="173" fontId="53" fillId="29" borderId="5" xfId="63" applyNumberFormat="1" applyFont="1" applyFill="1" applyBorder="1"/>
    <xf numFmtId="173" fontId="49" fillId="29" borderId="30" xfId="0" applyNumberFormat="1" applyFont="1" applyFill="1" applyBorder="1"/>
    <xf numFmtId="173" fontId="50" fillId="29" borderId="36" xfId="0" applyNumberFormat="1" applyFont="1" applyFill="1" applyBorder="1"/>
    <xf numFmtId="173" fontId="53" fillId="29" borderId="15" xfId="63" applyNumberFormat="1" applyFont="1" applyFill="1" applyBorder="1"/>
    <xf numFmtId="173" fontId="53" fillId="29" borderId="37" xfId="0" applyNumberFormat="1" applyFont="1" applyFill="1" applyBorder="1"/>
    <xf numFmtId="173" fontId="53" fillId="29" borderId="105" xfId="0" applyNumberFormat="1" applyFont="1" applyFill="1" applyBorder="1"/>
    <xf numFmtId="0" fontId="49" fillId="29" borderId="124" xfId="0" applyFont="1" applyFill="1" applyBorder="1"/>
    <xf numFmtId="0" fontId="50" fillId="29" borderId="32" xfId="0" applyFont="1" applyFill="1" applyBorder="1"/>
    <xf numFmtId="2" fontId="56" fillId="29" borderId="33" xfId="0" applyNumberFormat="1" applyFont="1" applyFill="1" applyBorder="1"/>
    <xf numFmtId="0" fontId="49" fillId="29" borderId="70" xfId="0" applyFont="1" applyFill="1" applyBorder="1"/>
    <xf numFmtId="0" fontId="50" fillId="29" borderId="0" xfId="0" applyFont="1" applyFill="1" applyBorder="1"/>
    <xf numFmtId="173" fontId="50" fillId="29" borderId="30" xfId="0" applyNumberFormat="1" applyFont="1" applyFill="1" applyBorder="1"/>
    <xf numFmtId="0" fontId="49" fillId="29" borderId="125" xfId="0" applyFont="1" applyFill="1" applyBorder="1"/>
    <xf numFmtId="0" fontId="50" fillId="29" borderId="121" xfId="0" applyFont="1" applyFill="1" applyBorder="1"/>
    <xf numFmtId="173" fontId="53" fillId="29" borderId="126" xfId="63" applyNumberFormat="1" applyFont="1" applyFill="1" applyBorder="1"/>
    <xf numFmtId="173" fontId="53" fillId="29" borderId="41" xfId="0" applyNumberFormat="1" applyFont="1" applyFill="1" applyBorder="1"/>
    <xf numFmtId="0" fontId="49" fillId="29" borderId="31" xfId="0" applyFont="1" applyFill="1" applyBorder="1"/>
    <xf numFmtId="0" fontId="50" fillId="29" borderId="33" xfId="0" applyFont="1" applyFill="1" applyBorder="1"/>
    <xf numFmtId="0" fontId="49" fillId="29" borderId="11" xfId="0" applyFont="1" applyFill="1" applyBorder="1"/>
    <xf numFmtId="0" fontId="50" fillId="29" borderId="5" xfId="0" applyFont="1" applyFill="1" applyBorder="1"/>
    <xf numFmtId="0" fontId="49" fillId="29" borderId="13" xfId="0" applyFont="1" applyFill="1" applyBorder="1"/>
    <xf numFmtId="0" fontId="50" fillId="29" borderId="15" xfId="0" applyFont="1" applyFill="1" applyBorder="1"/>
    <xf numFmtId="173" fontId="0" fillId="0" borderId="22" xfId="63" applyNumberFormat="1" applyFont="1" applyFill="1" applyBorder="1"/>
    <xf numFmtId="173" fontId="0" fillId="0" borderId="89" xfId="63" applyNumberFormat="1" applyFont="1" applyFill="1" applyBorder="1"/>
    <xf numFmtId="0" fontId="1" fillId="24" borderId="0" xfId="68" applyFont="1" applyFill="1">
      <alignment/>
      <protection/>
    </xf>
    <xf numFmtId="0" fontId="0" fillId="24" borderId="0" xfId="68" applyFill="1">
      <alignment/>
      <protection/>
    </xf>
    <xf numFmtId="0" fontId="1" fillId="24" borderId="16" xfId="68" applyFont="1" applyFill="1" applyBorder="1">
      <alignment/>
      <protection/>
    </xf>
    <xf numFmtId="0" fontId="1" fillId="24" borderId="34" xfId="68" applyFont="1" applyFill="1" applyBorder="1" applyAlignment="1">
      <alignment horizontal="center"/>
      <protection/>
    </xf>
    <xf numFmtId="0" fontId="1" fillId="24" borderId="76" xfId="68" applyFont="1" applyFill="1" applyBorder="1" applyAlignment="1">
      <alignment horizontal="center"/>
      <protection/>
    </xf>
    <xf numFmtId="0" fontId="0" fillId="24" borderId="44" xfId="68" applyFont="1" applyFill="1" applyBorder="1">
      <alignment/>
      <protection/>
    </xf>
    <xf numFmtId="0" fontId="0" fillId="24" borderId="46" xfId="68" applyFont="1" applyFill="1" applyBorder="1" applyAlignment="1">
      <alignment horizontal="center"/>
      <protection/>
    </xf>
    <xf numFmtId="10" fontId="0" fillId="30" borderId="46" xfId="88" applyNumberFormat="1" applyFont="1" applyFill="1" applyBorder="1" applyAlignment="1">
      <alignment horizontal="center"/>
    </xf>
    <xf numFmtId="10" fontId="0" fillId="30" borderId="75" xfId="88" applyNumberFormat="1" applyFont="1" applyFill="1" applyBorder="1" applyAlignment="1">
      <alignment horizontal="center"/>
    </xf>
    <xf numFmtId="168" fontId="0" fillId="0" borderId="0" xfId="88" applyNumberFormat="1" applyFont="1"/>
    <xf numFmtId="0" fontId="44" fillId="0" borderId="0" xfId="68" applyFont="1">
      <alignment/>
      <protection/>
    </xf>
    <xf numFmtId="0" fontId="0" fillId="24" borderId="11" xfId="68" applyFont="1" applyFill="1" applyBorder="1">
      <alignment/>
      <protection/>
    </xf>
    <xf numFmtId="0" fontId="0" fillId="24" borderId="30" xfId="68" applyFont="1" applyFill="1" applyBorder="1" applyAlignment="1">
      <alignment horizontal="center"/>
      <protection/>
    </xf>
    <xf numFmtId="10" fontId="0" fillId="30" borderId="30" xfId="88" applyNumberFormat="1" applyFont="1" applyFill="1" applyBorder="1" applyAlignment="1">
      <alignment horizontal="center"/>
    </xf>
    <xf numFmtId="10" fontId="0" fillId="30" borderId="36" xfId="88" applyNumberFormat="1" applyFont="1" applyFill="1" applyBorder="1" applyAlignment="1">
      <alignment horizontal="center"/>
    </xf>
    <xf numFmtId="0" fontId="0" fillId="24" borderId="127" xfId="68" applyFont="1" applyFill="1" applyBorder="1">
      <alignment/>
      <protection/>
    </xf>
    <xf numFmtId="0" fontId="0" fillId="24" borderId="41" xfId="68" applyFont="1" applyFill="1" applyBorder="1" applyAlignment="1">
      <alignment horizontal="center"/>
      <protection/>
    </xf>
    <xf numFmtId="10" fontId="0" fillId="30" borderId="41" xfId="68" applyNumberFormat="1" applyFont="1" applyFill="1" applyBorder="1" applyAlignment="1">
      <alignment horizontal="center"/>
      <protection/>
    </xf>
    <xf numFmtId="10" fontId="0" fillId="30" borderId="41" xfId="88" applyNumberFormat="1" applyFont="1" applyFill="1" applyBorder="1" applyAlignment="1">
      <alignment horizontal="center"/>
    </xf>
    <xf numFmtId="10" fontId="0" fillId="30" borderId="42" xfId="88" applyNumberFormat="1" applyFont="1" applyFill="1" applyBorder="1" applyAlignment="1">
      <alignment horizontal="center"/>
    </xf>
    <xf numFmtId="43" fontId="0" fillId="0" borderId="0" xfId="61" applyFont="1"/>
    <xf numFmtId="0" fontId="1" fillId="24" borderId="44" xfId="68" applyFont="1" applyFill="1" applyBorder="1">
      <alignment/>
      <protection/>
    </xf>
    <xf numFmtId="0" fontId="0" fillId="24" borderId="0" xfId="68" applyFont="1" applyFill="1" applyBorder="1" applyAlignment="1">
      <alignment horizontal="center"/>
      <protection/>
    </xf>
    <xf numFmtId="0" fontId="0" fillId="24" borderId="46" xfId="68" applyFont="1" applyFill="1" applyBorder="1">
      <alignment/>
      <protection/>
    </xf>
    <xf numFmtId="0" fontId="0" fillId="24" borderId="0" xfId="68" applyFont="1" applyFill="1" applyBorder="1">
      <alignment/>
      <protection/>
    </xf>
    <xf numFmtId="10" fontId="0" fillId="24" borderId="0" xfId="68" applyNumberFormat="1" applyFont="1" applyFill="1" applyBorder="1">
      <alignment/>
      <protection/>
    </xf>
    <xf numFmtId="0" fontId="0" fillId="24" borderId="75" xfId="68" applyFont="1" applyFill="1" applyBorder="1">
      <alignment/>
      <protection/>
    </xf>
    <xf numFmtId="173" fontId="0" fillId="24" borderId="0" xfId="61" applyNumberFormat="1" applyFont="1" applyFill="1" applyBorder="1"/>
    <xf numFmtId="173" fontId="0" fillId="24" borderId="30" xfId="61" applyNumberFormat="1" applyFont="1" applyFill="1" applyBorder="1"/>
    <xf numFmtId="173" fontId="0" fillId="24" borderId="36" xfId="61" applyNumberFormat="1" applyFont="1" applyFill="1" applyBorder="1"/>
    <xf numFmtId="0" fontId="1" fillId="30" borderId="11" xfId="68" applyFont="1" applyFill="1" applyBorder="1">
      <alignment/>
      <protection/>
    </xf>
    <xf numFmtId="0" fontId="0" fillId="24" borderId="30" xfId="68" applyFont="1" applyFill="1" applyBorder="1">
      <alignment/>
      <protection/>
    </xf>
    <xf numFmtId="0" fontId="0" fillId="24" borderId="36" xfId="68" applyFont="1" applyFill="1" applyBorder="1">
      <alignment/>
      <protection/>
    </xf>
    <xf numFmtId="0" fontId="1" fillId="0" borderId="0" xfId="68" applyFont="1" applyAlignment="1">
      <alignment horizontal="center"/>
      <protection/>
    </xf>
    <xf numFmtId="173" fontId="0" fillId="0" borderId="0" xfId="68" applyNumberFormat="1">
      <alignment/>
      <protection/>
    </xf>
    <xf numFmtId="0" fontId="0" fillId="24" borderId="13" xfId="68" applyFont="1" applyFill="1" applyBorder="1">
      <alignment/>
      <protection/>
    </xf>
    <xf numFmtId="0" fontId="0" fillId="24" borderId="37" xfId="68" applyFont="1" applyFill="1" applyBorder="1" applyAlignment="1">
      <alignment horizontal="center"/>
      <protection/>
    </xf>
    <xf numFmtId="173" fontId="0" fillId="24" borderId="12" xfId="61" applyNumberFormat="1" applyFont="1" applyFill="1" applyBorder="1"/>
    <xf numFmtId="173" fontId="0" fillId="24" borderId="37" xfId="61" applyNumberFormat="1" applyFont="1" applyFill="1" applyBorder="1"/>
    <xf numFmtId="173" fontId="0" fillId="24" borderId="105" xfId="61" applyNumberFormat="1" applyFont="1" applyFill="1" applyBorder="1"/>
    <xf numFmtId="0" fontId="0" fillId="24" borderId="0" xfId="68" applyFont="1" applyFill="1">
      <alignment/>
      <protection/>
    </xf>
    <xf numFmtId="0" fontId="1" fillId="24" borderId="34" xfId="68" applyFont="1" applyFill="1" applyBorder="1" applyAlignment="1">
      <alignment horizontal="center" vertical="center"/>
      <protection/>
    </xf>
    <xf numFmtId="0" fontId="1" fillId="24" borderId="76" xfId="68" applyFont="1" applyFill="1" applyBorder="1" applyAlignment="1">
      <alignment horizontal="center" vertical="center"/>
      <protection/>
    </xf>
    <xf numFmtId="0" fontId="0" fillId="24" borderId="126" xfId="68" applyFont="1" applyFill="1" applyBorder="1" applyAlignment="1">
      <alignment horizontal="center" vertical="center"/>
      <protection/>
    </xf>
    <xf numFmtId="0" fontId="1" fillId="24" borderId="41" xfId="68" applyFont="1" applyFill="1" applyBorder="1" applyAlignment="1">
      <alignment vertical="center" wrapText="1"/>
      <protection/>
    </xf>
    <xf numFmtId="0" fontId="1" fillId="24" borderId="41" xfId="68" applyFont="1" applyFill="1" applyBorder="1" applyAlignment="1">
      <alignment vertical="center"/>
      <protection/>
    </xf>
    <xf numFmtId="0" fontId="1" fillId="24" borderId="42" xfId="68" applyFont="1" applyFill="1" applyBorder="1" applyAlignment="1">
      <alignment vertical="center"/>
      <protection/>
    </xf>
    <xf numFmtId="0" fontId="1" fillId="24" borderId="29" xfId="68" applyFont="1" applyFill="1" applyBorder="1">
      <alignment/>
      <protection/>
    </xf>
    <xf numFmtId="0" fontId="0" fillId="24" borderId="24" xfId="68" applyFont="1" applyFill="1" applyBorder="1" applyAlignment="1">
      <alignment horizontal="center"/>
      <protection/>
    </xf>
    <xf numFmtId="173" fontId="1" fillId="24" borderId="19" xfId="61" applyNumberFormat="1" applyFont="1" applyFill="1" applyBorder="1"/>
    <xf numFmtId="173" fontId="1" fillId="24" borderId="67" xfId="61" applyNumberFormat="1" applyFont="1" applyFill="1" applyBorder="1"/>
    <xf numFmtId="0" fontId="0" fillId="24" borderId="5" xfId="68" applyFont="1" applyFill="1" applyBorder="1" applyAlignment="1">
      <alignment horizontal="center"/>
      <protection/>
    </xf>
    <xf numFmtId="171" fontId="0" fillId="24" borderId="30" xfId="61" applyNumberFormat="1" applyFont="1" applyFill="1" applyBorder="1"/>
    <xf numFmtId="171" fontId="0" fillId="24" borderId="36" xfId="61" applyNumberFormat="1" applyFont="1" applyFill="1" applyBorder="1"/>
    <xf numFmtId="173" fontId="0" fillId="0" borderId="0" xfId="61" applyNumberFormat="1" applyFont="1"/>
    <xf numFmtId="43" fontId="46" fillId="0" borderId="0" xfId="68" applyNumberFormat="1" applyFont="1">
      <alignment/>
      <protection/>
    </xf>
    <xf numFmtId="0" fontId="1" fillId="24" borderId="127" xfId="68" applyFont="1" applyFill="1" applyBorder="1" applyAlignment="1">
      <alignment horizontal="left" vertical="justify"/>
      <protection/>
    </xf>
    <xf numFmtId="171" fontId="1" fillId="24" borderId="19" xfId="61" applyNumberFormat="1" applyFont="1" applyFill="1" applyBorder="1"/>
    <xf numFmtId="171" fontId="1" fillId="24" borderId="67" xfId="61" applyNumberFormat="1" applyFont="1" applyFill="1" applyBorder="1"/>
    <xf numFmtId="171" fontId="1" fillId="24" borderId="30" xfId="61" applyNumberFormat="1" applyFont="1" applyFill="1" applyBorder="1"/>
    <xf numFmtId="171" fontId="0" fillId="24" borderId="30" xfId="68" applyNumberFormat="1" applyFont="1" applyFill="1" applyBorder="1">
      <alignment/>
      <protection/>
    </xf>
    <xf numFmtId="171" fontId="0" fillId="24" borderId="36" xfId="68" applyNumberFormat="1" applyFont="1" applyFill="1" applyBorder="1">
      <alignment/>
      <protection/>
    </xf>
    <xf numFmtId="173" fontId="0" fillId="24" borderId="5" xfId="61" applyNumberFormat="1" applyFont="1" applyFill="1" applyBorder="1" applyAlignment="1">
      <alignment horizontal="center"/>
    </xf>
    <xf numFmtId="171" fontId="0" fillId="24" borderId="5" xfId="61" applyNumberFormat="1" applyFont="1" applyFill="1" applyBorder="1" applyAlignment="1">
      <alignment horizontal="center"/>
    </xf>
    <xf numFmtId="171" fontId="0" fillId="24" borderId="27" xfId="61" applyNumberFormat="1" applyFont="1" applyFill="1" applyBorder="1" applyAlignment="1">
      <alignment horizontal="center"/>
    </xf>
    <xf numFmtId="171" fontId="0" fillId="24" borderId="41" xfId="68" applyNumberFormat="1" applyFont="1" applyFill="1" applyBorder="1">
      <alignment/>
      <protection/>
    </xf>
    <xf numFmtId="0" fontId="1" fillId="24" borderId="112" xfId="68" applyFont="1" applyFill="1" applyBorder="1">
      <alignment/>
      <protection/>
    </xf>
    <xf numFmtId="0" fontId="0" fillId="24" borderId="128" xfId="68" applyFont="1" applyFill="1" applyBorder="1">
      <alignment/>
      <protection/>
    </xf>
    <xf numFmtId="171" fontId="1" fillId="24" borderId="22" xfId="61" applyNumberFormat="1" applyFont="1" applyFill="1" applyBorder="1"/>
    <xf numFmtId="171" fontId="1" fillId="24" borderId="89" xfId="61" applyNumberFormat="1" applyFont="1" applyFill="1" applyBorder="1"/>
    <xf numFmtId="173" fontId="0" fillId="0" borderId="0" xfId="68" applyNumberFormat="1" applyBorder="1">
      <alignment/>
      <protection/>
    </xf>
    <xf numFmtId="0" fontId="1" fillId="24" borderId="0" xfId="68" applyFont="1" applyFill="1" applyBorder="1">
      <alignment/>
      <protection/>
    </xf>
    <xf numFmtId="0" fontId="0" fillId="24" borderId="0" xfId="68" applyFill="1" applyBorder="1">
      <alignment/>
      <protection/>
    </xf>
    <xf numFmtId="0" fontId="1" fillId="24" borderId="129" xfId="68" applyFont="1" applyFill="1" applyBorder="1" applyAlignment="1">
      <alignment horizontal="center" vertical="center"/>
      <protection/>
    </xf>
    <xf numFmtId="0" fontId="0" fillId="24" borderId="43" xfId="68" applyFont="1" applyFill="1" applyBorder="1" applyAlignment="1">
      <alignment vertical="center"/>
      <protection/>
    </xf>
    <xf numFmtId="0" fontId="12" fillId="24" borderId="18" xfId="68" applyFont="1" applyFill="1" applyBorder="1" applyAlignment="1">
      <alignment vertical="center"/>
      <protection/>
    </xf>
    <xf numFmtId="0" fontId="11" fillId="24" borderId="18" xfId="68" applyFont="1" applyFill="1" applyBorder="1" applyAlignment="1">
      <alignment horizontal="center" vertical="center"/>
      <protection/>
    </xf>
    <xf numFmtId="0" fontId="11" fillId="24" borderId="17" xfId="68" applyFont="1" applyFill="1" applyBorder="1" applyAlignment="1">
      <alignment horizontal="center" vertical="center"/>
      <protection/>
    </xf>
    <xf numFmtId="0" fontId="11" fillId="24" borderId="130" xfId="68" applyFont="1" applyFill="1" applyBorder="1" applyAlignment="1">
      <alignment horizontal="center" vertical="center"/>
      <protection/>
    </xf>
    <xf numFmtId="0" fontId="1" fillId="24" borderId="131" xfId="68" applyFont="1" applyFill="1" applyBorder="1" applyAlignment="1">
      <alignment vertical="center"/>
      <protection/>
    </xf>
    <xf numFmtId="0" fontId="0" fillId="24" borderId="20" xfId="68" applyFont="1" applyFill="1" applyBorder="1" applyAlignment="1">
      <alignment vertical="center"/>
      <protection/>
    </xf>
    <xf numFmtId="0" fontId="12" fillId="24" borderId="45" xfId="68" applyFont="1" applyFill="1" applyBorder="1" applyAlignment="1">
      <alignment vertical="center"/>
      <protection/>
    </xf>
    <xf numFmtId="1" fontId="12" fillId="24" borderId="46" xfId="68" applyNumberFormat="1" applyFont="1" applyFill="1" applyBorder="1" applyAlignment="1">
      <alignment vertical="center"/>
      <protection/>
    </xf>
    <xf numFmtId="1" fontId="12" fillId="24" borderId="21" xfId="68" applyNumberFormat="1" applyFont="1" applyFill="1" applyBorder="1" applyAlignment="1">
      <alignment vertical="center"/>
      <protection/>
    </xf>
    <xf numFmtId="0" fontId="0" fillId="24" borderId="114" xfId="68" applyFont="1" applyFill="1" applyBorder="1" applyAlignment="1">
      <alignment vertical="center"/>
      <protection/>
    </xf>
    <xf numFmtId="0" fontId="0" fillId="24" borderId="0" xfId="68" applyFont="1" applyFill="1" applyBorder="1" applyAlignment="1">
      <alignment vertical="center"/>
      <protection/>
    </xf>
    <xf numFmtId="0" fontId="12" fillId="24" borderId="5" xfId="68" applyFont="1" applyFill="1" applyBorder="1" applyAlignment="1">
      <alignment vertical="center"/>
      <protection/>
    </xf>
    <xf numFmtId="173" fontId="12" fillId="24" borderId="5" xfId="61" applyNumberFormat="1" applyFont="1" applyFill="1" applyBorder="1" applyAlignment="1">
      <alignment vertical="center"/>
    </xf>
    <xf numFmtId="173" fontId="12" fillId="24" borderId="30" xfId="61" applyNumberFormat="1" applyFont="1" applyFill="1" applyBorder="1" applyAlignment="1">
      <alignment vertical="center"/>
    </xf>
    <xf numFmtId="173" fontId="12" fillId="24" borderId="27" xfId="61" applyNumberFormat="1" applyFont="1" applyFill="1" applyBorder="1" applyAlignment="1">
      <alignment vertical="center"/>
    </xf>
    <xf numFmtId="0" fontId="0" fillId="24" borderId="114" xfId="68" applyFont="1" applyFill="1" applyBorder="1" applyAlignment="1">
      <alignment horizontal="left" vertical="center"/>
      <protection/>
    </xf>
    <xf numFmtId="0" fontId="12" fillId="24" borderId="30" xfId="68" applyFont="1" applyFill="1" applyBorder="1" applyAlignment="1">
      <alignment vertical="center"/>
      <protection/>
    </xf>
    <xf numFmtId="0" fontId="12" fillId="24" borderId="27" xfId="68" applyFont="1" applyFill="1" applyBorder="1" applyAlignment="1">
      <alignment vertical="center"/>
      <protection/>
    </xf>
    <xf numFmtId="0" fontId="0" fillId="24" borderId="132" xfId="68" applyFont="1" applyFill="1" applyBorder="1" applyAlignment="1">
      <alignment vertical="center"/>
      <protection/>
    </xf>
    <xf numFmtId="0" fontId="11" fillId="24" borderId="45" xfId="68" applyFont="1" applyFill="1" applyBorder="1" applyAlignment="1">
      <alignment horizontal="center" vertical="center"/>
      <protection/>
    </xf>
    <xf numFmtId="0" fontId="11" fillId="24" borderId="21" xfId="68" applyFont="1" applyFill="1" applyBorder="1" applyAlignment="1">
      <alignment horizontal="center" vertical="center"/>
      <protection/>
    </xf>
    <xf numFmtId="0" fontId="1" fillId="24" borderId="114" xfId="68" applyFont="1" applyFill="1" applyBorder="1" applyAlignment="1">
      <alignment vertical="center"/>
      <protection/>
    </xf>
    <xf numFmtId="0" fontId="0" fillId="24" borderId="70" xfId="68" applyFont="1" applyFill="1" applyBorder="1" applyAlignment="1">
      <alignment vertical="center"/>
      <protection/>
    </xf>
    <xf numFmtId="0" fontId="1" fillId="24" borderId="114" xfId="68" applyFont="1" applyFill="1" applyBorder="1" applyAlignment="1">
      <alignment horizontal="left" vertical="center"/>
      <protection/>
    </xf>
    <xf numFmtId="173" fontId="12" fillId="0" borderId="5" xfId="61" applyNumberFormat="1" applyFont="1" applyFill="1" applyBorder="1" applyAlignment="1">
      <alignment vertical="center"/>
    </xf>
    <xf numFmtId="0" fontId="46" fillId="0" borderId="0" xfId="68" applyFont="1">
      <alignment/>
      <protection/>
    </xf>
    <xf numFmtId="0" fontId="0" fillId="24" borderId="113" xfId="68" applyFont="1" applyFill="1" applyBorder="1" applyAlignment="1">
      <alignment vertical="center"/>
      <protection/>
    </xf>
    <xf numFmtId="0" fontId="0" fillId="24" borderId="125" xfId="68" applyFont="1" applyFill="1" applyBorder="1" applyAlignment="1">
      <alignment vertical="center"/>
      <protection/>
    </xf>
    <xf numFmtId="0" fontId="12" fillId="24" borderId="126" xfId="68" applyFont="1" applyFill="1" applyBorder="1" applyAlignment="1">
      <alignment vertical="center"/>
      <protection/>
    </xf>
    <xf numFmtId="173" fontId="12" fillId="24" borderId="126" xfId="61" applyNumberFormat="1" applyFont="1" applyFill="1" applyBorder="1" applyAlignment="1">
      <alignment vertical="center"/>
    </xf>
    <xf numFmtId="173" fontId="12" fillId="24" borderId="133" xfId="61" applyNumberFormat="1" applyFont="1" applyFill="1" applyBorder="1" applyAlignment="1">
      <alignment vertical="center"/>
    </xf>
    <xf numFmtId="172" fontId="12" fillId="24" borderId="5" xfId="61" applyNumberFormat="1" applyFont="1" applyFill="1" applyBorder="1" applyAlignment="1">
      <alignment vertical="center"/>
    </xf>
    <xf numFmtId="172" fontId="12" fillId="24" borderId="30" xfId="61" applyNumberFormat="1" applyFont="1" applyFill="1" applyBorder="1" applyAlignment="1">
      <alignment vertical="center"/>
    </xf>
    <xf numFmtId="172" fontId="12" fillId="24" borderId="36" xfId="61" applyNumberFormat="1" applyFont="1" applyFill="1" applyBorder="1" applyAlignment="1">
      <alignment vertical="center"/>
    </xf>
    <xf numFmtId="0" fontId="0" fillId="0" borderId="0" xfId="68" applyFill="1">
      <alignment/>
      <protection/>
    </xf>
    <xf numFmtId="0" fontId="1" fillId="0" borderId="0" xfId="68" applyFont="1" applyFill="1" applyAlignment="1">
      <alignment/>
      <protection/>
    </xf>
    <xf numFmtId="0" fontId="1" fillId="0" borderId="0" xfId="68" applyFont="1" applyFill="1">
      <alignment/>
      <protection/>
    </xf>
    <xf numFmtId="0" fontId="1" fillId="24" borderId="129" xfId="68" applyFont="1" applyFill="1" applyBorder="1" applyAlignment="1">
      <alignment vertical="center"/>
      <protection/>
    </xf>
    <xf numFmtId="0" fontId="0" fillId="24" borderId="32" xfId="68" applyFont="1" applyFill="1" applyBorder="1" applyAlignment="1">
      <alignment vertical="center"/>
      <protection/>
    </xf>
    <xf numFmtId="0" fontId="11" fillId="24" borderId="33" xfId="68" applyFont="1" applyFill="1" applyBorder="1" applyAlignment="1">
      <alignment horizontal="center" vertical="center"/>
      <protection/>
    </xf>
    <xf numFmtId="0" fontId="12" fillId="24" borderId="34" xfId="68" applyFont="1" applyFill="1" applyBorder="1" applyAlignment="1">
      <alignment vertical="center"/>
      <protection/>
    </xf>
    <xf numFmtId="0" fontId="12" fillId="24" borderId="33" xfId="68" applyFont="1" applyFill="1" applyBorder="1" applyAlignment="1">
      <alignment vertical="center"/>
      <protection/>
    </xf>
    <xf numFmtId="2" fontId="12" fillId="24" borderId="34" xfId="68" applyNumberFormat="1" applyFont="1" applyFill="1" applyBorder="1" applyAlignment="1">
      <alignment vertical="center"/>
      <protection/>
    </xf>
    <xf numFmtId="2" fontId="12" fillId="24" borderId="39" xfId="68" applyNumberFormat="1" applyFont="1" applyFill="1" applyBorder="1" applyAlignment="1">
      <alignment vertical="center"/>
      <protection/>
    </xf>
    <xf numFmtId="0" fontId="0" fillId="0" borderId="0" xfId="68" applyFill="1" applyAlignment="1">
      <alignment horizontal="right"/>
      <protection/>
    </xf>
    <xf numFmtId="173" fontId="11" fillId="24" borderId="5" xfId="61" applyNumberFormat="1" applyFont="1" applyFill="1" applyBorder="1" applyAlignment="1">
      <alignment horizontal="right" vertical="center"/>
    </xf>
    <xf numFmtId="171" fontId="12" fillId="24" borderId="30" xfId="68" applyNumberFormat="1" applyFont="1" applyFill="1" applyBorder="1" applyAlignment="1">
      <alignment vertical="center"/>
      <protection/>
    </xf>
    <xf numFmtId="173" fontId="12" fillId="24" borderId="36" xfId="68" applyNumberFormat="1" applyFont="1" applyFill="1" applyBorder="1" applyAlignment="1">
      <alignment vertical="center"/>
      <protection/>
    </xf>
    <xf numFmtId="181" fontId="0" fillId="0" borderId="0" xfId="68" applyNumberFormat="1" applyFill="1" applyAlignment="1">
      <alignment horizontal="right"/>
      <protection/>
    </xf>
    <xf numFmtId="0" fontId="0" fillId="24" borderId="114" xfId="68" applyFont="1" applyFill="1" applyBorder="1" applyAlignment="1">
      <alignment horizontal="left" vertical="center" indent="2"/>
      <protection/>
    </xf>
    <xf numFmtId="173" fontId="57" fillId="24" borderId="5" xfId="61" applyNumberFormat="1" applyFont="1" applyFill="1" applyBorder="1" applyAlignment="1">
      <alignment vertical="center"/>
    </xf>
    <xf numFmtId="171" fontId="58" fillId="24" borderId="30" xfId="68" applyNumberFormat="1" applyFont="1" applyFill="1" applyBorder="1" applyAlignment="1">
      <alignment vertical="center"/>
      <protection/>
    </xf>
    <xf numFmtId="173" fontId="11" fillId="24" borderId="5" xfId="61" applyNumberFormat="1" applyFont="1" applyFill="1" applyBorder="1" applyAlignment="1">
      <alignment vertical="center"/>
    </xf>
    <xf numFmtId="173" fontId="11" fillId="31" borderId="5" xfId="61" applyNumberFormat="1" applyFont="1" applyFill="1" applyBorder="1" applyAlignment="1">
      <alignment vertical="center"/>
    </xf>
    <xf numFmtId="173" fontId="12" fillId="24" borderId="30" xfId="68" applyNumberFormat="1" applyFont="1" applyFill="1" applyBorder="1" applyAlignment="1">
      <alignment vertical="center"/>
      <protection/>
    </xf>
    <xf numFmtId="0" fontId="1" fillId="0" borderId="0" xfId="68" applyFont="1" applyFill="1" applyAlignment="1">
      <alignment horizontal="right"/>
      <protection/>
    </xf>
    <xf numFmtId="181" fontId="0" fillId="0" borderId="0" xfId="68" applyNumberFormat="1" applyFont="1" applyFill="1" applyAlignment="1">
      <alignment horizontal="right"/>
      <protection/>
    </xf>
    <xf numFmtId="168" fontId="1" fillId="0" borderId="0" xfId="88" applyNumberFormat="1" applyFont="1" applyFill="1"/>
    <xf numFmtId="0" fontId="1" fillId="24" borderId="115" xfId="68" applyFont="1" applyFill="1" applyBorder="1" applyAlignment="1">
      <alignment vertical="center"/>
      <protection/>
    </xf>
    <xf numFmtId="0" fontId="0" fillId="24" borderId="12" xfId="68" applyFont="1" applyFill="1" applyBorder="1" applyAlignment="1">
      <alignment vertical="center"/>
      <protection/>
    </xf>
    <xf numFmtId="173" fontId="11" fillId="24" borderId="15" xfId="61" applyNumberFormat="1" applyFont="1" applyFill="1" applyBorder="1" applyAlignment="1">
      <alignment vertical="center"/>
    </xf>
    <xf numFmtId="173" fontId="11" fillId="24" borderId="37" xfId="68" applyNumberFormat="1" applyFont="1" applyFill="1" applyBorder="1" applyAlignment="1">
      <alignment vertical="center"/>
      <protection/>
    </xf>
    <xf numFmtId="173" fontId="11" fillId="24" borderId="105" xfId="68" applyNumberFormat="1" applyFont="1" applyFill="1" applyBorder="1" applyAlignment="1">
      <alignment vertical="center"/>
      <protection/>
    </xf>
    <xf numFmtId="173" fontId="0" fillId="0" borderId="0" xfId="68" applyNumberFormat="1" applyFill="1">
      <alignment/>
      <protection/>
    </xf>
    <xf numFmtId="181" fontId="0" fillId="0" borderId="0" xfId="68" applyNumberFormat="1" applyFill="1">
      <alignment/>
      <protection/>
    </xf>
    <xf numFmtId="173" fontId="0" fillId="24" borderId="0" xfId="68" applyNumberFormat="1" applyFill="1" applyBorder="1">
      <alignment/>
      <protection/>
    </xf>
    <xf numFmtId="2" fontId="1" fillId="24" borderId="0" xfId="68" applyNumberFormat="1" applyFont="1" applyFill="1" applyBorder="1">
      <alignment/>
      <protection/>
    </xf>
    <xf numFmtId="173" fontId="0" fillId="24" borderId="0" xfId="68" applyNumberFormat="1" applyFill="1">
      <alignment/>
      <protection/>
    </xf>
    <xf numFmtId="0" fontId="1" fillId="0" borderId="0" xfId="68" applyFont="1" applyFill="1" applyAlignment="1">
      <alignment horizontal="center"/>
      <protection/>
    </xf>
    <xf numFmtId="173" fontId="1" fillId="0" borderId="0" xfId="61" applyNumberFormat="1" applyFont="1" applyFill="1" applyBorder="1"/>
    <xf numFmtId="173" fontId="1" fillId="0" borderId="16" xfId="68" applyNumberFormat="1" applyFont="1" applyFill="1" applyBorder="1">
      <alignment/>
      <protection/>
    </xf>
    <xf numFmtId="173" fontId="1" fillId="0" borderId="17" xfId="68" applyNumberFormat="1" applyFont="1" applyFill="1" applyBorder="1">
      <alignment/>
      <protection/>
    </xf>
    <xf numFmtId="173" fontId="1" fillId="0" borderId="26" xfId="68" applyNumberFormat="1" applyFont="1" applyFill="1" applyBorder="1">
      <alignment/>
      <protection/>
    </xf>
    <xf numFmtId="178" fontId="0" fillId="0" borderId="0" xfId="68" applyNumberFormat="1">
      <alignment/>
      <protection/>
    </xf>
    <xf numFmtId="178" fontId="1" fillId="0" borderId="35" xfId="88" applyNumberFormat="1" applyFont="1" applyFill="1" applyBorder="1" applyAlignment="1">
      <alignment horizontal="center"/>
    </xf>
    <xf numFmtId="178" fontId="1" fillId="0" borderId="22" xfId="88" applyNumberFormat="1" applyFont="1" applyFill="1" applyBorder="1" applyAlignment="1">
      <alignment horizontal="center"/>
    </xf>
    <xf numFmtId="178" fontId="1" fillId="0" borderId="89" xfId="88" applyNumberFormat="1" applyFont="1" applyFill="1" applyBorder="1" applyAlignment="1">
      <alignment horizontal="center"/>
    </xf>
    <xf numFmtId="0" fontId="12" fillId="0" borderId="19" xfId="68" applyFont="1" applyBorder="1" applyAlignment="1">
      <alignment horizontal="center" vertical="center"/>
      <protection/>
    </xf>
    <xf numFmtId="173" fontId="12" fillId="31" borderId="19" xfId="68" applyNumberFormat="1" applyFont="1" applyFill="1" applyBorder="1" applyAlignment="1">
      <alignment horizontal="center" vertical="center"/>
      <protection/>
    </xf>
    <xf numFmtId="178" fontId="1" fillId="0" borderId="0" xfId="88" applyNumberFormat="1" applyFont="1" applyFill="1" applyBorder="1" applyAlignment="1">
      <alignment horizontal="center"/>
    </xf>
    <xf numFmtId="173" fontId="12" fillId="0" borderId="19" xfId="68" applyNumberFormat="1" applyFont="1" applyFill="1" applyBorder="1" applyAlignment="1">
      <alignment horizontal="center" vertical="center"/>
      <protection/>
    </xf>
    <xf numFmtId="1" fontId="1" fillId="0" borderId="19" xfId="88" applyNumberFormat="1" applyFont="1" applyFill="1" applyBorder="1" applyAlignment="1">
      <alignment horizontal="center"/>
    </xf>
    <xf numFmtId="0" fontId="1" fillId="0" borderId="19" xfId="68" applyFont="1" applyBorder="1">
      <alignment/>
      <protection/>
    </xf>
    <xf numFmtId="0" fontId="11" fillId="0" borderId="19" xfId="68" applyFont="1" applyBorder="1" applyAlignment="1">
      <alignment horizontal="center" vertical="center"/>
      <protection/>
    </xf>
    <xf numFmtId="180" fontId="11" fillId="0" borderId="19" xfId="68" applyNumberFormat="1" applyFont="1" applyFill="1" applyBorder="1" applyAlignment="1">
      <alignment horizontal="center" vertical="center"/>
      <protection/>
    </xf>
    <xf numFmtId="173" fontId="0" fillId="0" borderId="19" xfId="68" applyNumberFormat="1" applyFill="1" applyBorder="1">
      <alignment/>
      <protection/>
    </xf>
    <xf numFmtId="178" fontId="1" fillId="0" borderId="19" xfId="88" applyNumberFormat="1" applyFont="1" applyFill="1" applyBorder="1" applyAlignment="1">
      <alignment horizontal="center"/>
    </xf>
    <xf numFmtId="181" fontId="0" fillId="0" borderId="0" xfId="68" applyNumberFormat="1" applyAlignment="1">
      <alignment horizontal="right"/>
      <protection/>
    </xf>
    <xf numFmtId="0" fontId="1" fillId="0" borderId="0" xfId="68" applyFont="1" applyBorder="1">
      <alignment/>
      <protection/>
    </xf>
    <xf numFmtId="173" fontId="0" fillId="0" borderId="0" xfId="68" applyNumberFormat="1" applyFill="1" applyBorder="1">
      <alignment/>
      <protection/>
    </xf>
    <xf numFmtId="1" fontId="1" fillId="0" borderId="45" xfId="88" applyNumberFormat="1" applyFont="1" applyFill="1" applyBorder="1" applyAlignment="1">
      <alignment horizontal="center"/>
    </xf>
    <xf numFmtId="0" fontId="1" fillId="0" borderId="46" xfId="68" applyFont="1" applyBorder="1">
      <alignment/>
      <protection/>
    </xf>
    <xf numFmtId="1" fontId="1" fillId="0" borderId="46" xfId="88" applyNumberFormat="1" applyFont="1" applyFill="1" applyBorder="1" applyAlignment="1">
      <alignment horizontal="center"/>
    </xf>
    <xf numFmtId="0" fontId="0" fillId="0" borderId="31" xfId="68" applyBorder="1">
      <alignment/>
      <protection/>
    </xf>
    <xf numFmtId="0" fontId="0" fillId="0" borderId="32" xfId="68" applyBorder="1">
      <alignment/>
      <protection/>
    </xf>
    <xf numFmtId="173" fontId="0" fillId="0" borderId="32" xfId="68" applyNumberFormat="1" applyFill="1" applyBorder="1">
      <alignment/>
      <protection/>
    </xf>
    <xf numFmtId="181" fontId="0" fillId="0" borderId="39" xfId="68" applyNumberFormat="1" applyBorder="1" applyAlignment="1">
      <alignment horizontal="right"/>
      <protection/>
    </xf>
    <xf numFmtId="0" fontId="1" fillId="0" borderId="11" xfId="68" applyFont="1" applyBorder="1">
      <alignment/>
      <protection/>
    </xf>
    <xf numFmtId="181" fontId="0" fillId="0" borderId="27" xfId="68" applyNumberFormat="1" applyBorder="1" applyAlignment="1">
      <alignment horizontal="right"/>
      <protection/>
    </xf>
    <xf numFmtId="0" fontId="0" fillId="0" borderId="11" xfId="68" applyBorder="1">
      <alignment/>
      <protection/>
    </xf>
    <xf numFmtId="173" fontId="0" fillId="0" borderId="27" xfId="68" applyNumberFormat="1" applyFill="1" applyBorder="1">
      <alignment/>
      <protection/>
    </xf>
    <xf numFmtId="0" fontId="0" fillId="0" borderId="27" xfId="68" applyBorder="1">
      <alignment/>
      <protection/>
    </xf>
    <xf numFmtId="173" fontId="60" fillId="0" borderId="0" xfId="68" applyNumberFormat="1" applyFont="1" applyFill="1" applyBorder="1">
      <alignment/>
      <protection/>
    </xf>
    <xf numFmtId="173" fontId="60" fillId="0" borderId="27" xfId="68" applyNumberFormat="1" applyFont="1" applyFill="1" applyBorder="1">
      <alignment/>
      <protection/>
    </xf>
    <xf numFmtId="0" fontId="1" fillId="0" borderId="92" xfId="68" applyFont="1" applyFill="1" applyBorder="1">
      <alignment/>
      <protection/>
    </xf>
    <xf numFmtId="0" fontId="1" fillId="0" borderId="93" xfId="68" applyFont="1" applyBorder="1">
      <alignment/>
      <protection/>
    </xf>
    <xf numFmtId="173" fontId="1" fillId="0" borderId="93" xfId="68" applyNumberFormat="1" applyFont="1" applyFill="1" applyBorder="1">
      <alignment/>
      <protection/>
    </xf>
    <xf numFmtId="173" fontId="1" fillId="0" borderId="108" xfId="68" applyNumberFormat="1" applyFont="1" applyFill="1" applyBorder="1">
      <alignment/>
      <protection/>
    </xf>
    <xf numFmtId="175" fontId="0" fillId="0" borderId="0" xfId="68" applyNumberFormat="1" applyFill="1" applyBorder="1">
      <alignment/>
      <protection/>
    </xf>
    <xf numFmtId="175" fontId="0" fillId="0" borderId="27" xfId="68" applyNumberFormat="1" applyFill="1" applyBorder="1">
      <alignment/>
      <protection/>
    </xf>
    <xf numFmtId="43" fontId="1" fillId="32" borderId="93" xfId="68" applyNumberFormat="1" applyFont="1" applyFill="1" applyBorder="1">
      <alignment/>
      <protection/>
    </xf>
    <xf numFmtId="43" fontId="1" fillId="32" borderId="108" xfId="68" applyNumberFormat="1" applyFont="1" applyFill="1" applyBorder="1">
      <alignment/>
      <protection/>
    </xf>
    <xf numFmtId="0" fontId="1" fillId="0" borderId="11" xfId="68" applyFont="1" applyFill="1" applyBorder="1">
      <alignment/>
      <protection/>
    </xf>
    <xf numFmtId="0" fontId="1" fillId="0" borderId="0" xfId="68" applyFont="1" applyFill="1" applyBorder="1">
      <alignment/>
      <protection/>
    </xf>
    <xf numFmtId="0" fontId="0" fillId="0" borderId="0" xfId="68" applyFont="1" applyBorder="1">
      <alignment/>
      <protection/>
    </xf>
    <xf numFmtId="0" fontId="1" fillId="0" borderId="92" xfId="68" applyFont="1" applyBorder="1">
      <alignment/>
      <protection/>
    </xf>
    <xf numFmtId="173" fontId="1" fillId="32" borderId="93" xfId="68" applyNumberFormat="1" applyFont="1" applyFill="1" applyBorder="1">
      <alignment/>
      <protection/>
    </xf>
    <xf numFmtId="173" fontId="1" fillId="32" borderId="108" xfId="68" applyNumberFormat="1" applyFont="1" applyFill="1" applyBorder="1">
      <alignment/>
      <protection/>
    </xf>
    <xf numFmtId="9" fontId="0" fillId="0" borderId="0" xfId="88" applyFont="1" applyFill="1" applyBorder="1"/>
    <xf numFmtId="9" fontId="0" fillId="0" borderId="27" xfId="88" applyFont="1" applyFill="1" applyBorder="1"/>
    <xf numFmtId="43" fontId="1" fillId="32" borderId="93" xfId="61" applyFont="1" applyFill="1" applyBorder="1"/>
    <xf numFmtId="43" fontId="1" fillId="32" borderId="108" xfId="61" applyFont="1" applyFill="1" applyBorder="1"/>
    <xf numFmtId="43" fontId="0" fillId="0" borderId="0" xfId="68" applyNumberFormat="1" applyBorder="1">
      <alignment/>
      <protection/>
    </xf>
    <xf numFmtId="0" fontId="0" fillId="0" borderId="13" xfId="68" applyBorder="1">
      <alignment/>
      <protection/>
    </xf>
    <xf numFmtId="0" fontId="13" fillId="0" borderId="92" xfId="68" applyFont="1" applyFill="1" applyBorder="1">
      <alignment/>
      <protection/>
    </xf>
    <xf numFmtId="0" fontId="13" fillId="0" borderId="93" xfId="68" applyFont="1" applyBorder="1">
      <alignment/>
      <protection/>
    </xf>
    <xf numFmtId="43" fontId="13" fillId="0" borderId="93" xfId="68" applyNumberFormat="1" applyFont="1" applyBorder="1">
      <alignment/>
      <protection/>
    </xf>
    <xf numFmtId="43" fontId="13" fillId="0" borderId="108" xfId="68" applyNumberFormat="1" applyFont="1" applyBorder="1">
      <alignment/>
      <protection/>
    </xf>
    <xf numFmtId="43" fontId="0" fillId="0" borderId="0" xfId="68" applyNumberFormat="1">
      <alignment/>
      <protection/>
    </xf>
    <xf numFmtId="0" fontId="2" fillId="33" borderId="31" xfId="68" applyFont="1" applyFill="1" applyBorder="1">
      <alignment/>
      <protection/>
    </xf>
    <xf numFmtId="0" fontId="2" fillId="33" borderId="32" xfId="68" applyFont="1" applyFill="1" applyBorder="1">
      <alignment/>
      <protection/>
    </xf>
    <xf numFmtId="43" fontId="2" fillId="33" borderId="32" xfId="68" applyNumberFormat="1" applyFont="1" applyFill="1" applyBorder="1">
      <alignment/>
      <protection/>
    </xf>
    <xf numFmtId="181" fontId="2" fillId="33" borderId="39" xfId="68" applyNumberFormat="1" applyFont="1" applyFill="1" applyBorder="1" applyAlignment="1">
      <alignment horizontal="right"/>
      <protection/>
    </xf>
    <xf numFmtId="0" fontId="2" fillId="33" borderId="11" xfId="68" applyFont="1" applyFill="1" applyBorder="1">
      <alignment/>
      <protection/>
    </xf>
    <xf numFmtId="0" fontId="2" fillId="33" borderId="0" xfId="68" applyFont="1" applyFill="1" applyBorder="1">
      <alignment/>
      <protection/>
    </xf>
    <xf numFmtId="43" fontId="2" fillId="33" borderId="0" xfId="68" applyNumberFormat="1" applyFont="1" applyFill="1" applyBorder="1">
      <alignment/>
      <protection/>
    </xf>
    <xf numFmtId="181" fontId="2" fillId="33" borderId="27" xfId="68" applyNumberFormat="1" applyFont="1" applyFill="1" applyBorder="1" applyAlignment="1">
      <alignment horizontal="right"/>
      <protection/>
    </xf>
    <xf numFmtId="0" fontId="2" fillId="33" borderId="13" xfId="68" applyFont="1" applyFill="1" applyBorder="1">
      <alignment/>
      <protection/>
    </xf>
    <xf numFmtId="0" fontId="2" fillId="33" borderId="12" xfId="68" applyFont="1" applyFill="1" applyBorder="1">
      <alignment/>
      <protection/>
    </xf>
    <xf numFmtId="43" fontId="2" fillId="33" borderId="12" xfId="68" applyNumberFormat="1" applyFont="1" applyFill="1" applyBorder="1">
      <alignment/>
      <protection/>
    </xf>
    <xf numFmtId="43" fontId="61" fillId="33" borderId="23" xfId="61" applyFont="1" applyFill="1" applyBorder="1" applyAlignment="1">
      <alignment horizontal="right"/>
    </xf>
    <xf numFmtId="43" fontId="35" fillId="0" borderId="0" xfId="63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9" fontId="0" fillId="0" borderId="19" xfId="77" applyNumberFormat="1" applyFont="1" applyFill="1" applyBorder="1" applyAlignment="1">
      <alignment horizontal="center"/>
    </xf>
    <xf numFmtId="182" fontId="1" fillId="0" borderId="0" xfId="0" applyNumberFormat="1" applyFont="1"/>
    <xf numFmtId="0" fontId="62" fillId="0" borderId="0" xfId="0" applyFont="1" applyFill="1" applyBorder="1"/>
    <xf numFmtId="164" fontId="12" fillId="0" borderId="0" xfId="0" applyNumberFormat="1" applyFont="1"/>
    <xf numFmtId="165" fontId="0" fillId="33" borderId="68" xfId="59" applyFont="1" applyFill="1" applyBorder="1"/>
    <xf numFmtId="165" fontId="0" fillId="33" borderId="68" xfId="59" applyFont="1" applyFill="1" applyBorder="1" applyAlignment="1">
      <alignment horizontal="right"/>
    </xf>
    <xf numFmtId="37" fontId="35" fillId="0" borderId="64" xfId="0" applyNumberFormat="1" applyFont="1" applyFill="1" applyBorder="1"/>
    <xf numFmtId="0" fontId="0" fillId="0" borderId="132" xfId="0" applyFont="1" applyFill="1" applyBorder="1"/>
    <xf numFmtId="0" fontId="0" fillId="0" borderId="70" xfId="0" applyFont="1" applyFill="1" applyBorder="1"/>
    <xf numFmtId="0" fontId="0" fillId="0" borderId="125" xfId="0" applyFont="1" applyFill="1" applyBorder="1"/>
    <xf numFmtId="171" fontId="0" fillId="0" borderId="46" xfId="0" applyNumberFormat="1" applyFill="1" applyBorder="1"/>
    <xf numFmtId="171" fontId="60" fillId="0" borderId="30" xfId="0" applyNumberFormat="1" applyFont="1" applyFill="1" applyBorder="1"/>
    <xf numFmtId="171" fontId="0" fillId="0" borderId="41" xfId="0" applyNumberFormat="1" applyFill="1" applyBorder="1"/>
    <xf numFmtId="9" fontId="37" fillId="26" borderId="19" xfId="77" applyFont="1" applyFill="1" applyBorder="1"/>
    <xf numFmtId="173" fontId="5" fillId="0" borderId="0" xfId="65" applyNumberFormat="1" applyFont="1" applyFill="1" applyBorder="1"/>
    <xf numFmtId="174" fontId="0" fillId="0" borderId="0" xfId="0" applyNumberFormat="1" applyFont="1" applyFill="1" applyBorder="1"/>
    <xf numFmtId="174" fontId="0" fillId="0" borderId="0" xfId="0" applyNumberFormat="1" applyFill="1" applyBorder="1"/>
    <xf numFmtId="165" fontId="0" fillId="0" borderId="0" xfId="0" applyNumberFormat="1" applyFont="1" applyFill="1" applyBorder="1"/>
    <xf numFmtId="177" fontId="0" fillId="0" borderId="0" xfId="0" applyNumberFormat="1" applyFont="1" applyFill="1" applyBorder="1"/>
    <xf numFmtId="0" fontId="63" fillId="0" borderId="0" xfId="0" applyFont="1"/>
    <xf numFmtId="0" fontId="49" fillId="29" borderId="134" xfId="0" applyFont="1" applyFill="1" applyBorder="1" applyAlignment="1">
      <alignment horizontal="center" wrapText="1"/>
    </xf>
    <xf numFmtId="0" fontId="49" fillId="29" borderId="28" xfId="0" applyFont="1" applyFill="1" applyBorder="1" applyAlignment="1">
      <alignment horizontal="center" wrapText="1"/>
    </xf>
    <xf numFmtId="165" fontId="53" fillId="29" borderId="92" xfId="59" applyFont="1" applyFill="1" applyBorder="1" applyAlignment="1">
      <alignment horizontal="center"/>
    </xf>
    <xf numFmtId="43" fontId="37" fillId="26" borderId="72" xfId="63" applyFont="1" applyFill="1" applyBorder="1" applyAlignment="1">
      <alignment horizontal="center"/>
    </xf>
    <xf numFmtId="43" fontId="37" fillId="26" borderId="24" xfId="63" applyFont="1" applyFill="1" applyBorder="1" applyAlignment="1">
      <alignment horizontal="center"/>
    </xf>
    <xf numFmtId="43" fontId="0" fillId="0" borderId="78" xfId="63" applyFont="1" applyFill="1" applyBorder="1"/>
    <xf numFmtId="43" fontId="37" fillId="26" borderId="134" xfId="63" applyFont="1" applyFill="1" applyBorder="1" applyAlignment="1">
      <alignment horizontal="center"/>
    </xf>
    <xf numFmtId="43" fontId="1" fillId="0" borderId="66" xfId="63" applyFont="1" applyFill="1" applyBorder="1" applyAlignment="1">
      <alignment horizontal="left"/>
    </xf>
    <xf numFmtId="43" fontId="0" fillId="0" borderId="57" xfId="63" applyFill="1" applyBorder="1"/>
    <xf numFmtId="43" fontId="0" fillId="0" borderId="106" xfId="63" applyFill="1" applyBorder="1"/>
    <xf numFmtId="43" fontId="0" fillId="0" borderId="58" xfId="63" applyFill="1" applyBorder="1"/>
    <xf numFmtId="0" fontId="1" fillId="0" borderId="4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165" fontId="35" fillId="0" borderId="64" xfId="59" applyFont="1" applyFill="1" applyBorder="1"/>
    <xf numFmtId="165" fontId="0" fillId="0" borderId="78" xfId="59" applyFont="1" applyFill="1" applyBorder="1"/>
    <xf numFmtId="171" fontId="35" fillId="0" borderId="120" xfId="0" applyNumberFormat="1" applyFont="1" applyFill="1" applyBorder="1"/>
    <xf numFmtId="0" fontId="49" fillId="29" borderId="92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43" fontId="39" fillId="0" borderId="0" xfId="63" applyFont="1" applyFill="1" applyBorder="1"/>
    <xf numFmtId="171" fontId="37" fillId="0" borderId="0" xfId="59" applyNumberFormat="1" applyFont="1" applyFill="1" applyBorder="1"/>
    <xf numFmtId="43" fontId="36" fillId="0" borderId="0" xfId="63" applyFont="1" applyFill="1" applyBorder="1" applyAlignment="1">
      <alignment horizontal="left"/>
    </xf>
    <xf numFmtId="43" fontId="36" fillId="26" borderId="95" xfId="63" applyFont="1" applyFill="1" applyBorder="1" applyAlignment="1">
      <alignment horizontal="left"/>
    </xf>
    <xf numFmtId="43" fontId="39" fillId="26" borderId="96" xfId="63" applyFont="1" applyFill="1" applyBorder="1"/>
    <xf numFmtId="171" fontId="37" fillId="26" borderId="96" xfId="59" applyNumberFormat="1" applyFont="1" applyFill="1" applyBorder="1"/>
    <xf numFmtId="171" fontId="37" fillId="26" borderId="97" xfId="59" applyNumberFormat="1" applyFont="1" applyFill="1" applyBorder="1"/>
    <xf numFmtId="171" fontId="48" fillId="0" borderId="111" xfId="59" applyNumberFormat="1" applyFont="1" applyFill="1" applyBorder="1"/>
    <xf numFmtId="171" fontId="48" fillId="0" borderId="48" xfId="59" applyNumberFormat="1" applyFont="1" applyFill="1" applyBorder="1"/>
    <xf numFmtId="180" fontId="0" fillId="0" borderId="103" xfId="59" applyNumberFormat="1" applyFont="1" applyFill="1" applyBorder="1"/>
    <xf numFmtId="171" fontId="37" fillId="26" borderId="67" xfId="59" applyNumberFormat="1" applyFont="1" applyFill="1" applyBorder="1"/>
    <xf numFmtId="43" fontId="0" fillId="0" borderId="51" xfId="63" applyFont="1" applyFill="1" applyBorder="1" applyAlignment="1">
      <alignment horizontal="left"/>
    </xf>
    <xf numFmtId="171" fontId="0" fillId="0" borderId="52" xfId="59" applyNumberFormat="1" applyFont="1" applyFill="1" applyBorder="1"/>
    <xf numFmtId="171" fontId="11" fillId="0" borderId="52" xfId="59" applyNumberFormat="1" applyFont="1" applyFill="1" applyBorder="1"/>
    <xf numFmtId="165" fontId="1" fillId="0" borderId="52" xfId="59" applyNumberFormat="1" applyFont="1" applyFill="1" applyBorder="1"/>
    <xf numFmtId="176" fontId="0" fillId="0" borderId="101" xfId="59" applyNumberFormat="1" applyFont="1" applyFill="1" applyBorder="1"/>
    <xf numFmtId="176" fontId="0" fillId="0" borderId="123" xfId="59" applyNumberFormat="1" applyFont="1" applyFill="1" applyBorder="1"/>
    <xf numFmtId="0" fontId="36" fillId="26" borderId="77" xfId="0" applyFont="1" applyFill="1" applyBorder="1" applyAlignment="1">
      <alignment horizontal="center"/>
    </xf>
    <xf numFmtId="178" fontId="13" fillId="0" borderId="77" xfId="0" applyNumberFormat="1" applyFont="1" applyFill="1" applyBorder="1" applyAlignment="1">
      <alignment horizontal="center"/>
    </xf>
    <xf numFmtId="43" fontId="35" fillId="28" borderId="24" xfId="63" applyFont="1" applyFill="1" applyBorder="1" applyAlignment="1">
      <alignment horizontal="right"/>
    </xf>
    <xf numFmtId="43" fontId="35" fillId="28" borderId="128" xfId="63" applyFont="1" applyFill="1" applyBorder="1" applyAlignment="1">
      <alignment horizontal="right"/>
    </xf>
    <xf numFmtId="43" fontId="35" fillId="28" borderId="14" xfId="63" applyFont="1" applyFill="1" applyBorder="1" applyAlignment="1">
      <alignment horizontal="right"/>
    </xf>
    <xf numFmtId="43" fontId="35" fillId="28" borderId="35" xfId="63" applyFont="1" applyFill="1" applyBorder="1" applyAlignment="1">
      <alignment horizontal="right"/>
    </xf>
    <xf numFmtId="4" fontId="2" fillId="28" borderId="70" xfId="0" applyNumberFormat="1" applyFont="1" applyFill="1" applyBorder="1" applyAlignment="1">
      <alignment horizontal="center"/>
    </xf>
    <xf numFmtId="4" fontId="2" fillId="28" borderId="73" xfId="0" applyNumberFormat="1" applyFont="1" applyFill="1" applyBorder="1" applyAlignment="1">
      <alignment horizontal="center"/>
    </xf>
    <xf numFmtId="43" fontId="0" fillId="0" borderId="0" xfId="63" applyFill="1" applyBorder="1"/>
    <xf numFmtId="43" fontId="0" fillId="0" borderId="0" xfId="63" applyFont="1" applyFill="1" applyBorder="1"/>
    <xf numFmtId="165" fontId="0" fillId="0" borderId="0" xfId="59" applyFont="1" applyFill="1" applyBorder="1" applyAlignment="1">
      <alignment horizontal="right"/>
    </xf>
    <xf numFmtId="43" fontId="0" fillId="0" borderId="19" xfId="63" applyFill="1" applyBorder="1"/>
    <xf numFmtId="43" fontId="0" fillId="0" borderId="24" xfId="63" applyFill="1" applyBorder="1"/>
    <xf numFmtId="43" fontId="0" fillId="0" borderId="40" xfId="63" applyFill="1" applyBorder="1"/>
    <xf numFmtId="43" fontId="0" fillId="0" borderId="135" xfId="63" applyFont="1" applyFill="1" applyBorder="1"/>
    <xf numFmtId="43" fontId="0" fillId="0" borderId="136" xfId="63" applyFill="1" applyBorder="1"/>
    <xf numFmtId="43" fontId="0" fillId="0" borderId="137" xfId="63" applyFont="1" applyFill="1" applyBorder="1"/>
    <xf numFmtId="0" fontId="0" fillId="0" borderId="19" xfId="0" applyFont="1" applyFill="1" applyBorder="1"/>
    <xf numFmtId="165" fontId="0" fillId="33" borderId="136" xfId="59" applyFont="1" applyFill="1" applyBorder="1"/>
    <xf numFmtId="43" fontId="0" fillId="0" borderId="138" xfId="63" applyFill="1" applyBorder="1"/>
    <xf numFmtId="43" fontId="0" fillId="0" borderId="74" xfId="63" applyFont="1" applyFill="1" applyBorder="1"/>
    <xf numFmtId="43" fontId="0" fillId="0" borderId="72" xfId="63" applyFont="1" applyFill="1" applyBorder="1"/>
    <xf numFmtId="165" fontId="0" fillId="33" borderId="24" xfId="59" applyFont="1" applyFill="1" applyBorder="1"/>
    <xf numFmtId="43" fontId="0" fillId="0" borderId="30" xfId="63" applyFill="1" applyBorder="1"/>
    <xf numFmtId="171" fontId="0" fillId="0" borderId="30" xfId="59" applyNumberFormat="1" applyFont="1" applyFill="1" applyBorder="1"/>
    <xf numFmtId="171" fontId="0" fillId="0" borderId="37" xfId="59" applyNumberFormat="1" applyFont="1" applyFill="1" applyBorder="1"/>
    <xf numFmtId="43" fontId="0" fillId="0" borderId="5" xfId="63" applyFont="1" applyFill="1" applyBorder="1" applyAlignment="1">
      <alignment horizontal="left"/>
    </xf>
    <xf numFmtId="43" fontId="0" fillId="0" borderId="30" xfId="63" applyFont="1" applyFill="1" applyBorder="1"/>
    <xf numFmtId="171" fontId="0" fillId="0" borderId="30" xfId="59" applyNumberFormat="1" applyFont="1" applyFill="1" applyBorder="1"/>
    <xf numFmtId="0" fontId="0" fillId="0" borderId="51" xfId="0" applyFont="1" applyFill="1" applyBorder="1"/>
    <xf numFmtId="165" fontId="0" fillId="0" borderId="51" xfId="59" applyFont="1" applyFill="1" applyBorder="1"/>
    <xf numFmtId="4" fontId="0" fillId="0" borderId="72" xfId="0" applyNumberFormat="1" applyFont="1" applyFill="1" applyBorder="1"/>
    <xf numFmtId="0" fontId="13" fillId="0" borderId="95" xfId="0" applyFont="1" applyFill="1" applyBorder="1" applyAlignment="1">
      <alignment horizontal="center"/>
    </xf>
    <xf numFmtId="0" fontId="0" fillId="0" borderId="97" xfId="0" applyBorder="1" applyAlignment="1">
      <alignment horizontal="center"/>
    </xf>
    <xf numFmtId="0" fontId="13" fillId="0" borderId="116" xfId="0" applyFont="1" applyFill="1" applyBorder="1" applyAlignment="1">
      <alignment horizontal="center"/>
    </xf>
    <xf numFmtId="0" fontId="0" fillId="0" borderId="118" xfId="0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Alignment="1">
      <alignment/>
    </xf>
    <xf numFmtId="0" fontId="48" fillId="29" borderId="129" xfId="0" applyFont="1" applyFill="1" applyBorder="1" applyAlignment="1">
      <alignment horizontal="center" vertical="center" wrapText="1"/>
    </xf>
    <xf numFmtId="0" fontId="48" fillId="29" borderId="113" xfId="0" applyFont="1" applyFill="1" applyBorder="1" applyAlignment="1">
      <alignment horizontal="center" vertical="center" wrapText="1"/>
    </xf>
    <xf numFmtId="0" fontId="48" fillId="29" borderId="76" xfId="0" applyFont="1" applyFill="1" applyBorder="1" applyAlignment="1">
      <alignment horizontal="center" vertical="center" wrapText="1"/>
    </xf>
    <xf numFmtId="0" fontId="48" fillId="29" borderId="42" xfId="0" applyFont="1" applyFill="1" applyBorder="1" applyAlignment="1">
      <alignment horizontal="center" vertical="center" wrapText="1"/>
    </xf>
    <xf numFmtId="43" fontId="2" fillId="0" borderId="29" xfId="63" applyFont="1" applyFill="1" applyBorder="1" applyAlignment="1">
      <alignment horizontal="center"/>
    </xf>
    <xf numFmtId="43" fontId="2" fillId="0" borderId="25" xfId="63" applyFont="1" applyFill="1" applyBorder="1" applyAlignment="1">
      <alignment horizontal="center"/>
    </xf>
    <xf numFmtId="0" fontId="48" fillId="29" borderId="33" xfId="0" applyFont="1" applyFill="1" applyBorder="1" applyAlignment="1">
      <alignment horizontal="center" vertical="center" wrapText="1"/>
    </xf>
    <xf numFmtId="0" fontId="48" fillId="29" borderId="126" xfId="0" applyFont="1" applyFill="1" applyBorder="1" applyAlignment="1">
      <alignment horizontal="center" vertical="center" wrapText="1"/>
    </xf>
    <xf numFmtId="0" fontId="48" fillId="29" borderId="124" xfId="0" applyFont="1" applyFill="1" applyBorder="1" applyAlignment="1">
      <alignment horizontal="center" vertical="center" wrapText="1"/>
    </xf>
    <xf numFmtId="0" fontId="48" fillId="29" borderId="125" xfId="0" applyFont="1" applyFill="1" applyBorder="1" applyAlignment="1">
      <alignment horizontal="center" vertical="center" wrapText="1"/>
    </xf>
    <xf numFmtId="43" fontId="2" fillId="0" borderId="74" xfId="63" applyFont="1" applyFill="1" applyBorder="1" applyAlignment="1">
      <alignment horizontal="center"/>
    </xf>
    <xf numFmtId="43" fontId="2" fillId="0" borderId="72" xfId="63" applyFont="1" applyFill="1" applyBorder="1" applyAlignment="1">
      <alignment horizontal="center"/>
    </xf>
    <xf numFmtId="0" fontId="48" fillId="29" borderId="34" xfId="0" applyFont="1" applyFill="1" applyBorder="1" applyAlignment="1">
      <alignment horizontal="center" vertical="center" wrapText="1"/>
    </xf>
    <xf numFmtId="0" fontId="48" fillId="29" borderId="41" xfId="0" applyFont="1" applyFill="1" applyBorder="1" applyAlignment="1">
      <alignment horizontal="center" vertical="center" wrapText="1"/>
    </xf>
    <xf numFmtId="0" fontId="48" fillId="29" borderId="28" xfId="0" applyFont="1" applyFill="1" applyBorder="1" applyAlignment="1">
      <alignment horizontal="center" vertical="center" wrapText="1"/>
    </xf>
    <xf numFmtId="0" fontId="48" fillId="29" borderId="43" xfId="0" applyFont="1" applyFill="1" applyBorder="1" applyAlignment="1">
      <alignment horizontal="center" vertical="center" wrapText="1"/>
    </xf>
    <xf numFmtId="0" fontId="48" fillId="29" borderId="130" xfId="0" applyFont="1" applyFill="1" applyBorder="1" applyAlignment="1">
      <alignment horizontal="center" vertical="center" wrapText="1"/>
    </xf>
    <xf numFmtId="0" fontId="36" fillId="26" borderId="139" xfId="0" applyFont="1" applyFill="1" applyBorder="1" applyAlignment="1">
      <alignment horizontal="center" wrapText="1"/>
    </xf>
    <xf numFmtId="0" fontId="36" fillId="26" borderId="134" xfId="0" applyFont="1" applyFill="1" applyBorder="1" applyAlignment="1">
      <alignment horizontal="center" wrapText="1"/>
    </xf>
    <xf numFmtId="0" fontId="36" fillId="26" borderId="19" xfId="0" applyFont="1" applyFill="1" applyBorder="1" applyAlignment="1">
      <alignment horizontal="center" vertical="center"/>
    </xf>
    <xf numFmtId="0" fontId="36" fillId="26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3" fontId="2" fillId="0" borderId="28" xfId="63" applyFont="1" applyFill="1" applyBorder="1" applyAlignment="1">
      <alignment horizontal="center" vertical="center" wrapText="1"/>
    </xf>
    <xf numFmtId="43" fontId="2" fillId="0" borderId="43" xfId="63" applyFont="1" applyFill="1" applyBorder="1" applyAlignment="1">
      <alignment horizontal="center" vertical="center" wrapText="1"/>
    </xf>
    <xf numFmtId="43" fontId="2" fillId="0" borderId="29" xfId="63" applyFont="1" applyFill="1" applyBorder="1" applyAlignment="1">
      <alignment horizontal="center" vertical="center" wrapText="1"/>
    </xf>
    <xf numFmtId="43" fontId="2" fillId="0" borderId="74" xfId="63" applyFont="1" applyFill="1" applyBorder="1" applyAlignment="1">
      <alignment horizontal="center" vertical="center" wrapText="1"/>
    </xf>
    <xf numFmtId="43" fontId="2" fillId="0" borderId="112" xfId="63" applyFont="1" applyFill="1" applyBorder="1" applyAlignment="1">
      <alignment horizontal="center" vertical="center" wrapText="1"/>
    </xf>
    <xf numFmtId="43" fontId="2" fillId="0" borderId="140" xfId="63" applyFont="1" applyFill="1" applyBorder="1" applyAlignment="1">
      <alignment horizontal="center" vertical="center" wrapText="1"/>
    </xf>
    <xf numFmtId="0" fontId="36" fillId="26" borderId="24" xfId="0" applyFont="1" applyFill="1" applyBorder="1" applyAlignment="1">
      <alignment horizontal="center" wrapText="1"/>
    </xf>
    <xf numFmtId="43" fontId="36" fillId="26" borderId="19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36" fillId="26" borderId="46" xfId="0" applyFont="1" applyFill="1" applyBorder="1" applyAlignment="1">
      <alignment horizontal="center" vertical="center" wrapText="1"/>
    </xf>
    <xf numFmtId="0" fontId="36" fillId="26" borderId="41" xfId="0" applyFont="1" applyFill="1" applyBorder="1" applyAlignment="1">
      <alignment horizontal="center" vertical="center" wrapText="1"/>
    </xf>
    <xf numFmtId="0" fontId="0" fillId="0" borderId="32" xfId="68" applyFill="1" applyBorder="1" applyAlignment="1">
      <alignment horizontal="left" vertical="center" wrapText="1"/>
      <protection/>
    </xf>
    <xf numFmtId="0" fontId="49" fillId="29" borderId="16" xfId="68" applyFont="1" applyFill="1" applyBorder="1" applyAlignment="1">
      <alignment horizontal="center" vertical="center" wrapText="1"/>
      <protection/>
    </xf>
    <xf numFmtId="0" fontId="49" fillId="29" borderId="35" xfId="68" applyFont="1" applyFill="1" applyBorder="1" applyAlignment="1">
      <alignment horizontal="center" vertical="center" wrapText="1"/>
      <protection/>
    </xf>
    <xf numFmtId="0" fontId="49" fillId="29" borderId="17" xfId="68" applyFont="1" applyFill="1" applyBorder="1" applyAlignment="1">
      <alignment horizontal="center" vertical="center" wrapText="1"/>
      <protection/>
    </xf>
    <xf numFmtId="0" fontId="49" fillId="29" borderId="22" xfId="68" applyFont="1" applyFill="1" applyBorder="1" applyAlignment="1">
      <alignment horizontal="center" vertical="center" wrapText="1"/>
      <protection/>
    </xf>
    <xf numFmtId="43" fontId="49" fillId="29" borderId="34" xfId="64" applyNumberFormat="1" applyFont="1" applyFill="1" applyBorder="1" applyAlignment="1">
      <alignment horizontal="center" vertical="center" wrapText="1"/>
    </xf>
    <xf numFmtId="43" fontId="49" fillId="29" borderId="37" xfId="64" applyNumberFormat="1" applyFont="1" applyFill="1" applyBorder="1" applyAlignment="1">
      <alignment horizontal="center" vertical="center" wrapText="1"/>
    </xf>
    <xf numFmtId="0" fontId="49" fillId="29" borderId="71" xfId="68" applyFont="1" applyFill="1" applyBorder="1" applyAlignment="1">
      <alignment horizontal="center"/>
      <protection/>
    </xf>
    <xf numFmtId="0" fontId="49" fillId="29" borderId="43" xfId="68" applyFont="1" applyFill="1" applyBorder="1" applyAlignment="1">
      <alignment horizontal="center"/>
      <protection/>
    </xf>
    <xf numFmtId="0" fontId="49" fillId="29" borderId="18" xfId="68" applyFont="1" applyFill="1" applyBorder="1" applyAlignment="1">
      <alignment horizontal="center"/>
      <protection/>
    </xf>
    <xf numFmtId="0" fontId="49" fillId="29" borderId="94" xfId="68" applyFont="1" applyFill="1" applyBorder="1" applyAlignment="1">
      <alignment horizontal="center" vertical="center" wrapText="1"/>
      <protection/>
    </xf>
    <xf numFmtId="0" fontId="49" fillId="29" borderId="117" xfId="68" applyFont="1" applyFill="1" applyBorder="1" applyAlignment="1">
      <alignment horizontal="center" vertical="center" wrapText="1"/>
      <protection/>
    </xf>
    <xf numFmtId="0" fontId="13" fillId="24" borderId="0" xfId="68" applyFont="1" applyFill="1" applyBorder="1" applyAlignment="1">
      <alignment horizontal="center"/>
      <protection/>
    </xf>
    <xf numFmtId="0" fontId="13" fillId="24" borderId="0" xfId="68" applyFont="1" applyFill="1" applyBorder="1" applyAlignment="1">
      <alignment horizontal="center" vertical="center"/>
      <protection/>
    </xf>
    <xf numFmtId="43" fontId="2" fillId="24" borderId="0" xfId="64" applyNumberFormat="1" applyFont="1" applyFill="1" applyBorder="1" applyAlignment="1">
      <alignment horizontal="center" vertical="center" wrapText="1"/>
    </xf>
    <xf numFmtId="43" fontId="2" fillId="24" borderId="12" xfId="64" applyNumberFormat="1" applyFont="1" applyFill="1" applyBorder="1" applyAlignment="1">
      <alignment horizontal="center" vertical="center" wrapText="1"/>
    </xf>
    <xf numFmtId="0" fontId="11" fillId="0" borderId="31" xfId="68" applyFont="1" applyBorder="1" applyAlignment="1">
      <alignment horizontal="left" vertical="center" wrapText="1"/>
      <protection/>
    </xf>
    <xf numFmtId="0" fontId="11" fillId="0" borderId="32" xfId="68" applyFont="1" applyBorder="1" applyAlignment="1">
      <alignment horizontal="left" vertical="center" wrapText="1"/>
      <protection/>
    </xf>
    <xf numFmtId="0" fontId="0" fillId="0" borderId="32" xfId="68" applyBorder="1" applyAlignment="1">
      <alignment horizontal="center"/>
      <protection/>
    </xf>
    <xf numFmtId="0" fontId="0" fillId="0" borderId="39" xfId="68" applyBorder="1" applyAlignment="1">
      <alignment horizontal="center"/>
      <protection/>
    </xf>
    <xf numFmtId="183" fontId="2" fillId="0" borderId="92" xfId="0" applyNumberFormat="1" applyFont="1" applyFill="1" applyBorder="1" applyAlignment="1">
      <alignment horizontal="center"/>
    </xf>
    <xf numFmtId="183" fontId="2" fillId="0" borderId="93" xfId="0" applyNumberFormat="1" applyFont="1" applyFill="1" applyBorder="1" applyAlignment="1">
      <alignment horizontal="center"/>
    </xf>
    <xf numFmtId="183" fontId="2" fillId="0" borderId="108" xfId="0" applyNumberFormat="1" applyFont="1" applyFill="1" applyBorder="1" applyAlignment="1">
      <alignment horizontal="center"/>
    </xf>
    <xf numFmtId="0" fontId="53" fillId="29" borderId="56" xfId="0" applyFont="1" applyFill="1" applyBorder="1" applyAlignment="1">
      <alignment horizontal="center" wrapText="1"/>
    </xf>
    <xf numFmtId="0" fontId="53" fillId="29" borderId="58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9" fillId="29" borderId="28" xfId="0" applyFont="1" applyFill="1" applyBorder="1" applyAlignment="1">
      <alignment horizontal="center" wrapText="1"/>
    </xf>
    <xf numFmtId="0" fontId="49" fillId="29" borderId="29" xfId="0" applyFont="1" applyFill="1" applyBorder="1" applyAlignment="1">
      <alignment horizontal="center" wrapText="1"/>
    </xf>
    <xf numFmtId="0" fontId="49" fillId="29" borderId="139" xfId="0" applyFont="1" applyFill="1" applyBorder="1" applyAlignment="1">
      <alignment horizontal="center" wrapText="1"/>
    </xf>
    <xf numFmtId="0" fontId="49" fillId="29" borderId="134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41" xfId="0" applyFont="1" applyFill="1" applyBorder="1" applyAlignment="1">
      <alignment horizontal="center" vertical="center" wrapText="1"/>
    </xf>
    <xf numFmtId="171" fontId="1" fillId="0" borderId="92" xfId="0" applyNumberFormat="1" applyFont="1" applyFill="1" applyBorder="1" applyAlignment="1">
      <alignment horizontal="center" vertical="center" wrapText="1"/>
    </xf>
    <xf numFmtId="171" fontId="1" fillId="0" borderId="93" xfId="0" applyNumberFormat="1" applyFont="1" applyFill="1" applyBorder="1" applyAlignment="1">
      <alignment horizontal="center" vertical="center" wrapText="1"/>
    </xf>
    <xf numFmtId="171" fontId="1" fillId="0" borderId="108" xfId="0" applyNumberFormat="1" applyFont="1" applyFill="1" applyBorder="1" applyAlignment="1">
      <alignment horizontal="center" vertical="center" wrapText="1"/>
    </xf>
    <xf numFmtId="0" fontId="53" fillId="29" borderId="47" xfId="0" applyFont="1" applyFill="1" applyBorder="1" applyAlignment="1">
      <alignment horizontal="center" wrapText="1"/>
    </xf>
    <xf numFmtId="0" fontId="53" fillId="29" borderId="55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0" fontId="49" fillId="29" borderId="93" xfId="0" applyFont="1" applyFill="1" applyBorder="1" applyAlignment="1">
      <alignment horizontal="center" vertical="center" wrapText="1"/>
    </xf>
    <xf numFmtId="0" fontId="49" fillId="29" borderId="10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9" fillId="29" borderId="118" xfId="0" applyFont="1" applyFill="1" applyBorder="1" applyAlignment="1">
      <alignment horizontal="center" vertical="center" wrapText="1"/>
    </xf>
    <xf numFmtId="0" fontId="49" fillId="29" borderId="116" xfId="0" applyFont="1" applyFill="1" applyBorder="1" applyAlignment="1">
      <alignment horizontal="center" vertical="center" wrapText="1"/>
    </xf>
    <xf numFmtId="0" fontId="49" fillId="29" borderId="129" xfId="0" applyFont="1" applyFill="1" applyBorder="1" applyAlignment="1">
      <alignment horizontal="center" vertical="center" wrapText="1"/>
    </xf>
    <xf numFmtId="0" fontId="49" fillId="29" borderId="1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" fontId="40" fillId="26" borderId="111" xfId="0" applyNumberFormat="1" applyFont="1" applyFill="1" applyBorder="1" applyAlignment="1">
      <alignment horizontal="center" vertical="center" wrapText="1"/>
    </xf>
    <xf numFmtId="4" fontId="40" fillId="26" borderId="78" xfId="0" applyNumberFormat="1" applyFont="1" applyFill="1" applyBorder="1" applyAlignment="1">
      <alignment horizontal="center" vertical="center" wrapText="1"/>
    </xf>
    <xf numFmtId="4" fontId="40" fillId="26" borderId="48" xfId="0" applyNumberFormat="1" applyFont="1" applyFill="1" applyBorder="1" applyAlignment="1">
      <alignment horizontal="center" vertical="center" wrapText="1"/>
    </xf>
    <xf numFmtId="4" fontId="40" fillId="26" borderId="142" xfId="0" applyNumberFormat="1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/>
    </xf>
    <xf numFmtId="165" fontId="11" fillId="0" borderId="0" xfId="59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40" fillId="26" borderId="49" xfId="0" applyNumberFormat="1" applyFont="1" applyFill="1" applyBorder="1" applyAlignment="1">
      <alignment horizontal="center" vertical="center" wrapText="1"/>
    </xf>
    <xf numFmtId="4" fontId="40" fillId="26" borderId="110" xfId="0" applyNumberFormat="1" applyFont="1" applyFill="1" applyBorder="1" applyAlignment="1">
      <alignment horizontal="center" vertical="center" wrapText="1"/>
    </xf>
    <xf numFmtId="165" fontId="12" fillId="0" borderId="55" xfId="59" applyNumberFormat="1" applyFont="1" applyFill="1" applyBorder="1" applyAlignment="1">
      <alignment horizontal="left"/>
    </xf>
    <xf numFmtId="165" fontId="12" fillId="0" borderId="63" xfId="59" applyNumberFormat="1" applyFont="1" applyFill="1" applyBorder="1" applyAlignment="1">
      <alignment horizontal="left"/>
    </xf>
    <xf numFmtId="165" fontId="12" fillId="0" borderId="143" xfId="59" applyNumberFormat="1" applyFont="1" applyFill="1" applyBorder="1" applyAlignment="1">
      <alignment horizontal="left"/>
    </xf>
    <xf numFmtId="0" fontId="12" fillId="0" borderId="51" xfId="0" applyFont="1" applyFill="1" applyBorder="1" applyAlignment="1">
      <alignment horizontal="left"/>
    </xf>
    <xf numFmtId="0" fontId="12" fillId="0" borderId="64" xfId="0" applyFont="1" applyFill="1" applyBorder="1" applyAlignment="1">
      <alignment horizontal="left"/>
    </xf>
    <xf numFmtId="0" fontId="12" fillId="0" borderId="68" xfId="0" applyFont="1" applyFill="1" applyBorder="1" applyAlignment="1">
      <alignment horizontal="left"/>
    </xf>
    <xf numFmtId="0" fontId="12" fillId="0" borderId="47" xfId="0" applyFont="1" applyFill="1" applyBorder="1" applyAlignment="1">
      <alignment horizontal="left"/>
    </xf>
    <xf numFmtId="0" fontId="12" fillId="0" borderId="62" xfId="0" applyFont="1" applyFill="1" applyBorder="1" applyAlignment="1">
      <alignment horizontal="left"/>
    </xf>
    <xf numFmtId="0" fontId="12" fillId="0" borderId="144" xfId="0" applyFont="1" applyFill="1" applyBorder="1" applyAlignment="1">
      <alignment horizontal="left"/>
    </xf>
    <xf numFmtId="0" fontId="12" fillId="0" borderId="90" xfId="0" applyFont="1" applyFill="1" applyBorder="1" applyAlignment="1">
      <alignment horizontal="left"/>
    </xf>
    <xf numFmtId="0" fontId="12" fillId="0" borderId="65" xfId="0" applyFont="1" applyFill="1" applyBorder="1" applyAlignment="1">
      <alignment horizontal="left"/>
    </xf>
    <xf numFmtId="0" fontId="12" fillId="0" borderId="81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left"/>
    </xf>
    <xf numFmtId="0" fontId="11" fillId="0" borderId="64" xfId="0" applyFont="1" applyFill="1" applyBorder="1" applyAlignment="1">
      <alignment horizontal="left"/>
    </xf>
    <xf numFmtId="0" fontId="11" fillId="0" borderId="68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73" fontId="0" fillId="0" borderId="132" xfId="63" applyNumberFormat="1" applyFont="1" applyBorder="1" applyAlignment="1">
      <alignment horizontal="center"/>
    </xf>
    <xf numFmtId="173" fontId="0" fillId="0" borderId="20" xfId="63" applyNumberFormat="1" applyFont="1" applyBorder="1" applyAlignment="1">
      <alignment horizontal="center"/>
    </xf>
    <xf numFmtId="173" fontId="0" fillId="0" borderId="45" xfId="63" applyNumberFormat="1" applyFont="1" applyBorder="1" applyAlignment="1">
      <alignment horizontal="center"/>
    </xf>
    <xf numFmtId="173" fontId="0" fillId="0" borderId="125" xfId="63" applyNumberFormat="1" applyFont="1" applyBorder="1" applyAlignment="1">
      <alignment horizontal="center"/>
    </xf>
    <xf numFmtId="173" fontId="0" fillId="0" borderId="121" xfId="63" applyNumberFormat="1" applyFont="1" applyBorder="1" applyAlignment="1">
      <alignment horizontal="center"/>
    </xf>
    <xf numFmtId="173" fontId="0" fillId="0" borderId="126" xfId="63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3" fontId="2" fillId="0" borderId="92" xfId="63" applyFont="1" applyBorder="1" applyAlignment="1">
      <alignment horizontal="center"/>
    </xf>
    <xf numFmtId="43" fontId="2" fillId="0" borderId="93" xfId="63" applyFont="1" applyBorder="1" applyAlignment="1">
      <alignment horizontal="center"/>
    </xf>
    <xf numFmtId="43" fontId="2" fillId="0" borderId="108" xfId="63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4" borderId="0" xfId="68" applyFont="1" applyFill="1" applyAlignment="1">
      <alignment horizontal="center"/>
      <protection/>
    </xf>
    <xf numFmtId="0" fontId="11" fillId="0" borderId="72" xfId="68" applyFont="1" applyBorder="1" applyAlignment="1">
      <alignment horizontal="center" vertical="center"/>
      <protection/>
    </xf>
    <xf numFmtId="0" fontId="0" fillId="0" borderId="24" xfId="68" applyBorder="1" applyAlignment="1">
      <alignment horizontal="center" vertical="center"/>
      <protection/>
    </xf>
    <xf numFmtId="0" fontId="1" fillId="0" borderId="0" xfId="68" applyFont="1" applyAlignment="1">
      <alignment horizontal="center"/>
      <protection/>
    </xf>
    <xf numFmtId="0" fontId="59" fillId="32" borderId="31" xfId="68" applyFont="1" applyFill="1" applyBorder="1" applyAlignment="1">
      <alignment horizontal="center"/>
      <protection/>
    </xf>
    <xf numFmtId="0" fontId="59" fillId="32" borderId="32" xfId="68" applyFont="1" applyFill="1" applyBorder="1" applyAlignment="1">
      <alignment horizontal="center"/>
      <protection/>
    </xf>
    <xf numFmtId="0" fontId="59" fillId="32" borderId="39" xfId="68" applyFont="1" applyFill="1" applyBorder="1" applyAlignment="1">
      <alignment horizontal="center"/>
      <protection/>
    </xf>
    <xf numFmtId="0" fontId="1" fillId="24" borderId="31" xfId="68" applyFont="1" applyFill="1" applyBorder="1" applyAlignment="1">
      <alignment horizontal="center" vertical="center"/>
      <protection/>
    </xf>
    <xf numFmtId="0" fontId="1" fillId="24" borderId="33" xfId="68" applyFont="1" applyFill="1" applyBorder="1" applyAlignment="1">
      <alignment horizontal="center" vertical="center"/>
      <protection/>
    </xf>
    <xf numFmtId="0" fontId="1" fillId="24" borderId="127" xfId="68" applyFont="1" applyFill="1" applyBorder="1" applyAlignment="1">
      <alignment horizontal="center" vertical="center"/>
      <protection/>
    </xf>
    <xf numFmtId="0" fontId="1" fillId="24" borderId="126" xfId="68" applyFont="1" applyFill="1" applyBorder="1" applyAlignment="1">
      <alignment horizontal="center" vertical="center"/>
      <protection/>
    </xf>
    <xf numFmtId="0" fontId="1" fillId="24" borderId="0" xfId="68" applyFont="1" applyFill="1" applyBorder="1" applyAlignment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Incorrecto" xfId="58"/>
    <cellStyle name="Millares" xfId="59"/>
    <cellStyle name="Millares [0]" xfId="60"/>
    <cellStyle name="Millares 2" xfId="61"/>
    <cellStyle name="Millares 3" xfId="62"/>
    <cellStyle name="Millares_Cargos por Conexión - versión Final" xfId="63"/>
    <cellStyle name="Millares_Cargos por Conexión - versión Final 2" xfId="64"/>
    <cellStyle name="Millares_Modulo 6" xfId="65"/>
    <cellStyle name="Millares_RESUMEN" xfId="66"/>
    <cellStyle name="Neutral" xfId="67"/>
    <cellStyle name="Normal 2" xfId="68"/>
    <cellStyle name="Normal 3" xfId="69"/>
    <cellStyle name="Normal_Cuentas de Balance - 19 Feb 04" xfId="70"/>
    <cellStyle name="Notas" xfId="71"/>
    <cellStyle name="Output Amounts" xfId="72"/>
    <cellStyle name="Output Column Headings" xfId="73"/>
    <cellStyle name="Output Line Items" xfId="74"/>
    <cellStyle name="Output Report Heading" xfId="75"/>
    <cellStyle name="Output Report Title" xfId="76"/>
    <cellStyle name="Porcentual" xfId="77"/>
    <cellStyle name="Porcentual 2" xfId="78"/>
    <cellStyle name="Porcentual 3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  <cellStyle name="Porcentaje 2" xfId="88"/>
    <cellStyle name="Millares 2 2" xfId="89"/>
    <cellStyle name="Normal 2 2" xfId="90"/>
    <cellStyle name="Normal 3 2" xfId="91"/>
    <cellStyle name="Normal 4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5734050" y="1076325"/>
          <a:ext cx="5953125" cy="1905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5753100" y="1790700"/>
          <a:ext cx="5953125" cy="1714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34050" y="1076325"/>
          <a:ext cx="5953125" cy="1905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753100" y="1790700"/>
          <a:ext cx="5953125" cy="1714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734050" y="1076325"/>
          <a:ext cx="5953125" cy="1905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5753100" y="1790700"/>
          <a:ext cx="5953125" cy="1714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34050" y="1076325"/>
          <a:ext cx="5953125" cy="1905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753100" y="1790700"/>
          <a:ext cx="5953125" cy="1714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734050" y="1076325"/>
          <a:ext cx="5953125" cy="1905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5753100" y="1790700"/>
          <a:ext cx="5953125" cy="1714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734050" y="1076325"/>
          <a:ext cx="5953125" cy="1905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5753100" y="1790700"/>
          <a:ext cx="5953125" cy="1714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34050" y="1076325"/>
          <a:ext cx="5953125" cy="1905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753100" y="1790700"/>
          <a:ext cx="5953125" cy="1714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734050" y="1076325"/>
          <a:ext cx="5953125" cy="1905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5753100" y="1790700"/>
          <a:ext cx="5953125" cy="1714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734050" y="1076325"/>
          <a:ext cx="5953125" cy="1905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5753100" y="1790700"/>
          <a:ext cx="5953125" cy="1714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734050" y="1076325"/>
          <a:ext cx="5953125" cy="1905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5753100" y="1790700"/>
          <a:ext cx="5953125" cy="1714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238125</xdr:rowOff>
    </xdr:from>
    <xdr:to>
      <xdr:col>7</xdr:col>
      <xdr:colOff>933450</xdr:colOff>
      <xdr:row>4</xdr:row>
      <xdr:rowOff>419100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48050" y="1647825"/>
          <a:ext cx="5153025" cy="1809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6</xdr:row>
      <xdr:rowOff>95250</xdr:rowOff>
    </xdr:from>
    <xdr:to>
      <xdr:col>6</xdr:col>
      <xdr:colOff>581025</xdr:colOff>
      <xdr:row>8</xdr:row>
      <xdr:rowOff>123825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1038225" y="1066800"/>
          <a:ext cx="62769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IPCT = ADMCT</a:t>
          </a:r>
          <a:r>
            <a:rPr lang="es-E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efi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ADMT%</a:t>
          </a:r>
          <a:r>
            <a:rPr lang="es-E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+ OMTCT</a:t>
          </a:r>
          <a:r>
            <a:rPr lang="es-E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efi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OMT%</a:t>
          </a:r>
          <a:r>
            <a:rPr lang="es-E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+ ACTCT * DEP% + ACTNCT * RRT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6</xdr:row>
      <xdr:rowOff>28575</xdr:rowOff>
    </xdr:from>
    <xdr:to>
      <xdr:col>6</xdr:col>
      <xdr:colOff>142875</xdr:colOff>
      <xdr:row>9</xdr:row>
      <xdr:rowOff>9525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09625" y="1000125"/>
          <a:ext cx="5172075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IPCT</a:t>
          </a:r>
          <a:r>
            <a:rPr lang="es-E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 vnr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= ADMCT</a:t>
          </a:r>
          <a:r>
            <a:rPr lang="es-E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efi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ADMT%</a:t>
          </a:r>
          <a:r>
            <a:rPr lang="es-E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+ OMTCT</a:t>
          </a:r>
          <a:r>
            <a:rPr lang="es-E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efi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OMT%</a:t>
          </a:r>
          <a:r>
            <a:rPr lang="es-E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+ ACTCT</a:t>
          </a:r>
          <a:r>
            <a:rPr lang="es-E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efi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* DEP% + ACTCTefi  * RRT</a:t>
          </a:r>
        </a:p>
      </xdr:txBody>
    </xdr:sp>
    <xdr:clientData/>
  </xdr:twoCellAnchor>
  <xdr:twoCellAnchor>
    <xdr:from>
      <xdr:col>4</xdr:col>
      <xdr:colOff>714375</xdr:colOff>
      <xdr:row>56</xdr:row>
      <xdr:rowOff>28575</xdr:rowOff>
    </xdr:from>
    <xdr:to>
      <xdr:col>10</xdr:col>
      <xdr:colOff>142875</xdr:colOff>
      <xdr:row>59</xdr:row>
      <xdr:rowOff>9525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076825" y="9229725"/>
          <a:ext cx="381000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IPCT</a:t>
          </a:r>
          <a:r>
            <a:rPr lang="es-E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 vnr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= ADMCT</a:t>
          </a:r>
          <a:r>
            <a:rPr lang="es-E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efi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ADMT%</a:t>
          </a:r>
          <a:r>
            <a:rPr lang="es-E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+ OMTCT</a:t>
          </a:r>
          <a:r>
            <a:rPr lang="es-E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efi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OMT%</a:t>
          </a:r>
          <a:r>
            <a:rPr lang="es-E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+ ACTCT</a:t>
          </a:r>
          <a:r>
            <a:rPr lang="es-E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efi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* DEP% + ACTCTefi  * RRT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142875</xdr:rowOff>
    </xdr:from>
    <xdr:to>
      <xdr:col>5</xdr:col>
      <xdr:colOff>504825</xdr:colOff>
      <xdr:row>4</xdr:row>
      <xdr:rowOff>323850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523875" y="742950"/>
          <a:ext cx="541972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Coeficiente de adaptación de los activos = FA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FA =  IPCT / IPCT vnr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rivera\Mis%20documentos\TARIFAS%20DE%20TRANSMISION\R&#233;gimen%202005-2009\IMP\IMP%202005-09%20(FINAL%20post%20consulta%20p&#250;blica)+MR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200.46.47.233\Documents%20and%20Settings\Mrivera\Mis%20documentos\TARIFAS%20DE%20TRANSMISION\R&#233;gimen%202005-2009\IMP\IMP%202005-09%20(FINAL%20post%20consulta%20p&#250;blica)+MR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lejandro\Revicoes%20tarif&#225;rias\PA\M0755-03Panam&#225;Transmisi&#243;n2003\Informes\Fase%20IVIMP\Modelo%20Tarifas%20Transmisi&#243;n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200.46.47.233\Alejandro\Revicoes%20tarif&#225;rias\PA\M0755-03Panam&#225;Transmisi&#243;n2003\Informes\Fase%20IVIMP\Modelo%20Tarifas%20Transmisi&#243;n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dromeda\planeamiento\Documents%20and%20Settings\mrivera\Mis%20documentos\TARIFAS%20DE%20TRANSMISION\R&#233;gimen%202005-2009\IMP\IMP%202005-09%20(FINAL%20post%20consulta%20p&#250;blica)+MR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dromeda\planeamiento\Documents%20and%20Settings\Mrivera\Configuraci&#243;n%20local\Archivos%20temporales%20de%20Internet\OLK10\Cargos%20por%20Conexi&#243;n%20-%20versi&#243;n%20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perez\Configuraci&#243;n%20local\Archivos%20temporales%20de%20Internet\Content.Outlook\Y0K2GZNR\C%20X%20C%202009-2013%2019%20mayo%20ASEP%20Nota%20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pereira\AppData\Local\Microsoft\Windows\Temporary%20Internet%20Files\Content.Outlook\G48M7B9P\C%20x%20Conexi&#243;n%202013%20-20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perez\Escriitorio%202012\Escritorio%202013\Consulta%20Publica%20IMP%202013%20%20%202017\IMP%202013%202017%20Consulta%20Publica\IMP%20ETESA%20%202013%20%202017%20-Desbloque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 Base capital completa"/>
      <sheetName val="IMP O&amp;M promedio anterior"/>
      <sheetName val="IMP tasa 12.24%"/>
      <sheetName val="Graficas"/>
      <sheetName val="IMP"/>
      <sheetName val="Hidrometeorología"/>
      <sheetName val="Activos"/>
      <sheetName val="Hoja1"/>
      <sheetName val="Bienes 2004"/>
      <sheetName val="VNR"/>
      <sheetName val="VNR Líneas"/>
      <sheetName val="Compara Valor libros-vs-VNR"/>
      <sheetName val="VNR SE"/>
      <sheetName val="Inversión-Resumen"/>
      <sheetName val="Inversiones"/>
      <sheetName val="Retiros"/>
      <sheetName val="CND"/>
      <sheetName val="Informática"/>
      <sheetName val="Hoja2"/>
      <sheetName val="RRT"/>
      <sheetName val="#¡REF"/>
      <sheetName val="IMP-Ajuste-Fechas"/>
      <sheetName val="IMP-APROBADO"/>
    </sheetNames>
    <sheetDataSet>
      <sheetData sheetId="0"/>
      <sheetData sheetId="1">
        <row r="14">
          <cell r="D14">
            <v>2000.9</v>
          </cell>
        </row>
      </sheetData>
      <sheetData sheetId="2"/>
      <sheetData sheetId="3"/>
      <sheetData sheetId="4">
        <row r="14">
          <cell r="D14">
            <v>2000.9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 Base capital completa"/>
      <sheetName val="IMP O&amp;M promedio anterior"/>
      <sheetName val="IMP tasa 12.24%"/>
      <sheetName val="Graficas"/>
      <sheetName val="IMP"/>
      <sheetName val="Hidrometeorología"/>
      <sheetName val="Activos"/>
      <sheetName val="Hoja1"/>
      <sheetName val="Bienes 2004"/>
      <sheetName val="VNR"/>
      <sheetName val="VNR Líneas"/>
      <sheetName val="Compara Valor libros-vs-VNR"/>
      <sheetName val="VNR SE"/>
      <sheetName val="Inversión-Resumen"/>
      <sheetName val="Inversiones"/>
      <sheetName val="Retiros"/>
      <sheetName val="CND"/>
      <sheetName val="Informática"/>
      <sheetName val="Hoja2"/>
      <sheetName val="RRT"/>
      <sheetName val="#¡REF"/>
      <sheetName val="IMP-Ajuste-Fechas"/>
      <sheetName val="IMP-APROB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PT"/>
      <sheetName val="IPSPT"/>
      <sheetName val="IPCT"/>
      <sheetName val="ACTIVOS"/>
      <sheetName val="VNR"/>
      <sheetName val="ADMT%-OMT%"/>
      <sheetName val="RRT"/>
      <sheetName val="CND"/>
      <sheetName val="Hidromet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4">
          <cell r="D14">
            <v>0.0785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PT"/>
      <sheetName val="IPSPT"/>
      <sheetName val="IPCT"/>
      <sheetName val="ACTIVOS"/>
      <sheetName val="VNR"/>
      <sheetName val="ADMT%-OMT%"/>
      <sheetName val="RRT"/>
      <sheetName val="CND"/>
      <sheetName val="Hidromet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4">
          <cell r="D14">
            <v>0.0785</v>
          </cell>
        </row>
      </sheetData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P Base capital completa"/>
      <sheetName val="IMP O&amp;M promedio anterior"/>
      <sheetName val="IMP tasa 12.24%"/>
      <sheetName val="Graficas"/>
      <sheetName val="IMP"/>
      <sheetName val="Hidrometeorología"/>
      <sheetName val="Activos"/>
      <sheetName val="Hoja1"/>
      <sheetName val="Bienes 2004"/>
      <sheetName val="VNR"/>
      <sheetName val="VNR Líneas"/>
      <sheetName val="Compara Valor libros-vs-VNR"/>
      <sheetName val="VNR SE"/>
      <sheetName val="Inversión-Resumen"/>
      <sheetName val="Inversiones"/>
      <sheetName val="Retiros"/>
      <sheetName val="CND"/>
      <sheetName val="Informática"/>
      <sheetName val="Hoja2"/>
      <sheetName val="RRT"/>
      <sheetName val="#¡REF"/>
      <sheetName val="IMP-Ajuste-Fechas"/>
      <sheetName val="IMP-APROBADO"/>
    </sheetNames>
    <sheetDataSet>
      <sheetData sheetId="0"/>
      <sheetData sheetId="1"/>
      <sheetData sheetId="2"/>
      <sheetData sheetId="3"/>
      <sheetData sheetId="4">
        <row r="14">
          <cell r="D14">
            <v>2000.9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es no implementadas"/>
      <sheetName val="IPCTvnr"/>
      <sheetName val="IPCT"/>
      <sheetName val="FA"/>
      <sheetName val="VNR2004"/>
      <sheetName val="Parámetros de eficiencia"/>
      <sheetName val="CX cxj  &quot;q´se incorporan&quot;"/>
      <sheetName val="Cargos - Años tarifarios"/>
      <sheetName val="CX cxj &quot;consideradas&quot;"/>
      <sheetName val="Ingresos Año1"/>
      <sheetName val="Ingresos Año2"/>
      <sheetName val="Ingresos Año3"/>
      <sheetName val="Ingresos Año4"/>
      <sheetName val="Ingresos Año5"/>
      <sheetName val="Ingresos Periodo"/>
      <sheetName val="CxC x Age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> Salidas de Conexión</v>
          </cell>
        </row>
        <row r="8">
          <cell r="B8" t="str">
            <v>Miles B/./Salida</v>
          </cell>
        </row>
        <row r="9">
          <cell r="B9" t="str">
            <v>Miles B/./Salida</v>
          </cell>
        </row>
        <row r="10">
          <cell r="B10" t="str">
            <v>Miles B/./Salida</v>
          </cell>
        </row>
        <row r="11">
          <cell r="B11" t="str">
            <v>Miles B/./Salida</v>
          </cell>
        </row>
        <row r="13">
          <cell r="B13" t="str">
            <v>Miles B/./Salida</v>
          </cell>
        </row>
        <row r="21">
          <cell r="B21" t="str">
            <v>Miles B/./km</v>
          </cell>
        </row>
        <row r="22">
          <cell r="B22" t="str">
            <v>Miles B/./km</v>
          </cell>
        </row>
        <row r="23">
          <cell r="B23" t="str">
            <v>Miles B/./km</v>
          </cell>
        </row>
        <row r="24">
          <cell r="B24" t="str">
            <v>Miles B/./km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X cxj  "/>
      <sheetName val="VERIFICACIÓN DE INGRESOS"/>
      <sheetName val="CX cxj  expansión condicionada"/>
      <sheetName val=" VNR2007"/>
      <sheetName val="SALIDAS Y TRANSFORMACION"/>
      <sheetName val="Parámetros de eficiencia"/>
      <sheetName val="N de Instalaciones"/>
      <sheetName val="IMP"/>
      <sheetName val="IPCT"/>
      <sheetName val="FA"/>
      <sheetName val="IPCT vnr"/>
      <sheetName val="S-E Charco Azul trafo"/>
      <sheetName val="S-E CHORRERA 230"/>
      <sheetName val="S-E CHORRERA trafo"/>
      <sheetName val="S-E CHORRERA 34"/>
      <sheetName val="S-E Charco azul 115"/>
      <sheetName val="S-E LL SANCHEZ 115"/>
      <sheetName val="S-E LL SANCHEZ trafo"/>
      <sheetName val="S-E PROGRESO 115"/>
      <sheetName val="S-E PROGRESO 34"/>
      <sheetName val="S-E MATA DE NANCE 34"/>
      <sheetName val="S-E LL SANCHEZ 34"/>
    </sheetNames>
    <sheetDataSet>
      <sheetData sheetId="0" refreshError="1"/>
      <sheetData sheetId="1" refreshError="1">
        <row r="12">
          <cell r="A12" t="str">
            <v>CXS34.5 Barra Sencilla</v>
          </cell>
          <cell r="B12" t="str">
            <v>Miles B/./Salida</v>
          </cell>
        </row>
        <row r="13">
          <cell r="A13" t="str">
            <v>CXS34.5 Interruptor y Medio</v>
          </cell>
          <cell r="B13" t="str">
            <v>Miles B/./Salida</v>
          </cell>
        </row>
        <row r="14">
          <cell r="A14" t="str">
            <v>CXS115 Barra Sencilla</v>
          </cell>
          <cell r="B14" t="str">
            <v>Miles B/./Salida</v>
          </cell>
        </row>
        <row r="15">
          <cell r="A15" t="str">
            <v>CXS115 Interruptor y Medio</v>
          </cell>
          <cell r="B15" t="str">
            <v>Miles B/./Salida</v>
          </cell>
        </row>
        <row r="16">
          <cell r="A16" t="str">
            <v>CXS115 Interruptor y 1/2 con 1IP</v>
          </cell>
          <cell r="B16" t="str">
            <v>Miles B/./Salida</v>
          </cell>
        </row>
        <row r="17">
          <cell r="A17" t="str">
            <v>CXS230 Barras Sencillas</v>
          </cell>
          <cell r="B17" t="str">
            <v>Miles B/./Salida</v>
          </cell>
        </row>
        <row r="18">
          <cell r="A18" t="str">
            <v>CXS230 Interruptor y Medio</v>
          </cell>
          <cell r="B18" t="str">
            <v>Miles B/./Salida</v>
          </cell>
        </row>
        <row r="19">
          <cell r="A19" t="str">
            <v>Transformadores</v>
          </cell>
        </row>
        <row r="21">
          <cell r="A21" t="str">
            <v>CXTR Reductor 60/80/100 MVA</v>
          </cell>
          <cell r="B21" t="str">
            <v>Miles B/./MVA</v>
          </cell>
        </row>
        <row r="22">
          <cell r="A22" t="str">
            <v>CXTR Reductor 42/56/70 MVA</v>
          </cell>
          <cell r="B22" t="str">
            <v>Miles B/./MVA</v>
          </cell>
        </row>
        <row r="23">
          <cell r="A23" t="str">
            <v>CXTR Reductor 30/40/50 MVA</v>
          </cell>
          <cell r="B23" t="str">
            <v>Miles B/./MVA</v>
          </cell>
        </row>
        <row r="24">
          <cell r="A24" t="str">
            <v>CXTR Reductor 20/24 MVA</v>
          </cell>
          <cell r="B24" t="str">
            <v>Miles B/./MVA</v>
          </cell>
        </row>
        <row r="25">
          <cell r="A25" t="str">
            <v>Líneas</v>
          </cell>
        </row>
        <row r="26">
          <cell r="A26" t="str">
            <v>CXL 115 KV Circuito Sencillo</v>
          </cell>
          <cell r="B26" t="str">
            <v>Miles B/./km</v>
          </cell>
        </row>
        <row r="27">
          <cell r="A27" t="str">
            <v>CXL 115 KV Doble Circuito</v>
          </cell>
          <cell r="B27" t="str">
            <v>Miles B/./km</v>
          </cell>
        </row>
        <row r="28">
          <cell r="A28" t="str">
            <v>CXL 230 KV Circuito Sencillo 750 ACAR</v>
          </cell>
          <cell r="B28" t="str">
            <v>Miles B/./km</v>
          </cell>
        </row>
        <row r="29">
          <cell r="A29" t="str">
            <v>CXL 230 KV Doble Circuito 1200 ACAR</v>
          </cell>
          <cell r="B29" t="str">
            <v>Miles B/./km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onas"/>
      <sheetName val="Facto de Pérdida"/>
      <sheetName val="Cargos SOI"/>
      <sheetName val="cuspt"/>
      <sheetName val="Resumen"/>
      <sheetName val="CX cxj  "/>
      <sheetName val=" VNR2007"/>
      <sheetName val="SALIDAS Y TRANSFORMACION"/>
      <sheetName val="CX cxj  expansión condicionada"/>
      <sheetName val="N de Instalaciones"/>
      <sheetName val="VERIFICACIÓN DE INGRESOS"/>
      <sheetName val="IMP 2013 2017"/>
      <sheetName val="IPCT vnr"/>
      <sheetName val="IPCT"/>
      <sheetName val="FA"/>
      <sheetName val="Parámetros de eficiencia"/>
      <sheetName val="F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D7">
            <v>2012</v>
          </cell>
          <cell r="E7">
            <v>2013</v>
          </cell>
          <cell r="F7">
            <v>2014</v>
          </cell>
          <cell r="G7">
            <v>2015</v>
          </cell>
          <cell r="H7">
            <v>2016</v>
          </cell>
          <cell r="I7">
            <v>2017</v>
          </cell>
        </row>
        <row r="8">
          <cell r="B8" t="str">
            <v>OMT</v>
          </cell>
          <cell r="E8">
            <v>0.0214</v>
          </cell>
        </row>
        <row r="9">
          <cell r="B9" t="str">
            <v>ADMT</v>
          </cell>
          <cell r="E9">
            <v>0.006</v>
          </cell>
        </row>
        <row r="10">
          <cell r="D10">
            <v>0.0785</v>
          </cell>
        </row>
        <row r="20">
          <cell r="B20" t="str">
            <v>ACTSPTef3L(Tercera Línea)</v>
          </cell>
        </row>
        <row r="68">
          <cell r="E68" t="str">
            <v>2013-2014</v>
          </cell>
          <cell r="F68" t="str">
            <v>2014-2015</v>
          </cell>
          <cell r="G68" t="str">
            <v>2015-2016</v>
          </cell>
          <cell r="H68" t="str">
            <v>2016-2017</v>
          </cell>
        </row>
        <row r="76">
          <cell r="E76">
            <v>0.9622323791195574</v>
          </cell>
          <cell r="F76">
            <v>0.8921950664066364</v>
          </cell>
          <cell r="G76">
            <v>0.8272555089537658</v>
          </cell>
          <cell r="H76">
            <v>0.7670426601333016</v>
          </cell>
        </row>
      </sheetData>
      <sheetData sheetId="12" refreshError="1"/>
      <sheetData sheetId="13" refreshError="1">
        <row r="15">
          <cell r="A15" t="str">
            <v>RRT</v>
          </cell>
        </row>
        <row r="38">
          <cell r="D38">
            <v>3449.4608439455383</v>
          </cell>
          <cell r="E38">
            <v>4484.0457828563785</v>
          </cell>
          <cell r="F38">
            <v>4968.919450104108</v>
          </cell>
          <cell r="G38">
            <v>4640.120986084706</v>
          </cell>
        </row>
      </sheetData>
      <sheetData sheetId="14" refreshError="1"/>
      <sheetData sheetId="15" refreshError="1"/>
      <sheetData sheetId="16" refreshError="1">
        <row r="139">
          <cell r="E139">
            <v>6360.516479692968</v>
          </cell>
          <cell r="F139">
            <v>7297.591563512635</v>
          </cell>
          <cell r="G139">
            <v>7591.159318185829</v>
          </cell>
          <cell r="H139">
            <v>7059.513355201451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  <sheetName val="IMP"/>
      <sheetName val="ACTIVOS"/>
      <sheetName val="Evo"/>
      <sheetName val="Bienes 2012"/>
      <sheetName val="Tasa depreciacion"/>
      <sheetName val="VNR Lineas"/>
      <sheetName val="VNR Sub Conex"/>
      <sheetName val="VNR Sub SPT"/>
      <sheetName val="VNR 2012"/>
      <sheetName val="Plan exp"/>
      <sheetName val="CND"/>
      <sheetName val="CND SOLICITADO"/>
      <sheetName val="CND AJUSTADO"/>
      <sheetName val="CND AJUSTADO -RES"/>
      <sheetName val="HID"/>
      <sheetName val="HID2"/>
      <sheetName val="Leasing"/>
    </sheetNames>
    <sheetDataSet>
      <sheetData sheetId="0" refreshError="1"/>
      <sheetData sheetId="1" refreshError="1"/>
      <sheetData sheetId="2">
        <row r="31">
          <cell r="C31">
            <v>328214.90700403386</v>
          </cell>
          <cell r="D31">
            <v>331543.85527403385</v>
          </cell>
          <cell r="E31">
            <v>382890.69663412485</v>
          </cell>
          <cell r="F31">
            <v>445768.38841743895</v>
          </cell>
          <cell r="G31">
            <v>486477.11447294266</v>
          </cell>
          <cell r="H31">
            <v>607641.7343896977</v>
          </cell>
        </row>
        <row r="32">
          <cell r="C32">
            <v>199740.3098379263</v>
          </cell>
          <cell r="D32">
            <v>192951.4124455378</v>
          </cell>
          <cell r="E32">
            <v>234080.53969514032</v>
          </cell>
          <cell r="F32">
            <v>285200.1121271633</v>
          </cell>
          <cell r="G32">
            <v>312264.38807787636</v>
          </cell>
          <cell r="H32">
            <v>418563.2961081756</v>
          </cell>
        </row>
        <row r="33">
          <cell r="D33">
            <v>-10117.845662388465</v>
          </cell>
          <cell r="E33">
            <v>-10217.714110488465</v>
          </cell>
          <cell r="F33">
            <v>-11758.119351291194</v>
          </cell>
          <cell r="G33">
            <v>-13644.450104790618</v>
          </cell>
          <cell r="H33">
            <v>-14865.711886455729</v>
          </cell>
        </row>
        <row r="61">
          <cell r="D61">
            <v>-1133.7359452590517</v>
          </cell>
          <cell r="E61">
            <v>-1241.0459452590517</v>
          </cell>
          <cell r="F61">
            <v>-1295.3459452590516</v>
          </cell>
          <cell r="G61">
            <v>-1677.8759452590516</v>
          </cell>
          <cell r="H61">
            <v>-1710.9059452590518</v>
          </cell>
        </row>
        <row r="87">
          <cell r="C87">
            <v>21486.15398122545</v>
          </cell>
          <cell r="D87">
            <v>29812.15398122545</v>
          </cell>
          <cell r="E87">
            <v>40685.50434618895</v>
          </cell>
          <cell r="F87">
            <v>49556.89120750282</v>
          </cell>
          <cell r="G87">
            <v>49837.18317830574</v>
          </cell>
          <cell r="H87">
            <v>49837.18317830574</v>
          </cell>
        </row>
        <row r="88">
          <cell r="C88">
            <v>8607.546346667083</v>
          </cell>
          <cell r="D88">
            <v>16169.476097688785</v>
          </cell>
          <cell r="E88">
            <v>26028.97621367399</v>
          </cell>
          <cell r="F88">
            <v>33560.312315060655</v>
          </cell>
          <cell r="G88">
            <v>32234.411920096958</v>
          </cell>
          <cell r="H88">
            <v>30619.81079520625</v>
          </cell>
        </row>
        <row r="89">
          <cell r="D89">
            <v>-764.070248978298</v>
          </cell>
          <cell r="E89">
            <v>-1013.8502489782979</v>
          </cell>
          <cell r="F89">
            <v>-1340.050759927203</v>
          </cell>
          <cell r="G89">
            <v>-1606.192365766619</v>
          </cell>
          <cell r="H89">
            <v>-1614.6011248907066</v>
          </cell>
        </row>
        <row r="115">
          <cell r="C115">
            <v>2000.9</v>
          </cell>
          <cell r="D115">
            <v>2000.9</v>
          </cell>
          <cell r="E115">
            <v>2000.9</v>
          </cell>
          <cell r="F115">
            <v>2000.9</v>
          </cell>
          <cell r="G115">
            <v>0</v>
          </cell>
          <cell r="H115">
            <v>0</v>
          </cell>
        </row>
        <row r="116">
          <cell r="C116">
            <v>269.1894999999995</v>
          </cell>
          <cell r="D116">
            <v>199.15799999999945</v>
          </cell>
          <cell r="E116">
            <v>129.1264999999994</v>
          </cell>
          <cell r="F116">
            <v>59.094999999999345</v>
          </cell>
          <cell r="G116">
            <v>0</v>
          </cell>
          <cell r="H116">
            <v>0</v>
          </cell>
        </row>
        <row r="117">
          <cell r="D117">
            <v>-70.03150000000001</v>
          </cell>
          <cell r="E117">
            <v>-70.03150000000001</v>
          </cell>
          <cell r="F117">
            <v>-70.03150000000001</v>
          </cell>
          <cell r="G117">
            <v>-59</v>
          </cell>
          <cell r="H117">
            <v>0</v>
          </cell>
        </row>
        <row r="124">
          <cell r="C124">
            <v>564912.051480781</v>
          </cell>
          <cell r="D124">
            <v>571817.999750781</v>
          </cell>
          <cell r="E124">
            <v>633386.841110872</v>
          </cell>
          <cell r="F124">
            <v>727100.5328941861</v>
          </cell>
          <cell r="G124">
            <v>768910.2589496898</v>
          </cell>
          <cell r="H124">
            <v>894117.8788664448</v>
          </cell>
        </row>
        <row r="125">
          <cell r="G125">
            <v>146440</v>
          </cell>
          <cell r="H125">
            <v>146440</v>
          </cell>
        </row>
        <row r="126">
          <cell r="C126">
            <v>39500.375681231126</v>
          </cell>
          <cell r="D126">
            <v>47826.375681231126</v>
          </cell>
          <cell r="E126">
            <v>58699.72604619463</v>
          </cell>
          <cell r="F126">
            <v>67571.11290750849</v>
          </cell>
          <cell r="G126">
            <v>67851.40487831141</v>
          </cell>
          <cell r="H126">
            <v>67851.40487831141</v>
          </cell>
        </row>
        <row r="131">
          <cell r="D131">
            <v>1819.7068916666667</v>
          </cell>
          <cell r="E131">
            <v>47608.97622270921</v>
          </cell>
          <cell r="F131">
            <v>59595.072808410434</v>
          </cell>
          <cell r="G131">
            <v>37662.16866619708</v>
          </cell>
          <cell r="H131">
            <v>106800.02828477375</v>
          </cell>
        </row>
        <row r="132">
          <cell r="G132">
            <v>73220</v>
          </cell>
        </row>
        <row r="133">
          <cell r="D133">
            <v>4856.833333333333</v>
          </cell>
          <cell r="E133">
            <v>5096.279197080292</v>
          </cell>
          <cell r="F133">
            <v>8750.948905109488</v>
          </cell>
          <cell r="G133">
            <v>23.35766423357664</v>
          </cell>
          <cell r="H133">
            <v>0</v>
          </cell>
        </row>
        <row r="138">
          <cell r="G138">
            <v>469119.47851966467</v>
          </cell>
        </row>
        <row r="139">
          <cell r="G139">
            <v>95792.57296111636</v>
          </cell>
        </row>
        <row r="140">
          <cell r="G140">
            <v>564912.051480781</v>
          </cell>
        </row>
        <row r="180">
          <cell r="C180">
            <v>36777.49693529999</v>
          </cell>
          <cell r="D180">
            <v>40354.49693529999</v>
          </cell>
          <cell r="E180">
            <v>42164.49693529999</v>
          </cell>
          <cell r="F180">
            <v>54915.49693529999</v>
          </cell>
          <cell r="G180">
            <v>56016.49693529999</v>
          </cell>
          <cell r="H180">
            <v>60059.49693529999</v>
          </cell>
        </row>
        <row r="181">
          <cell r="C181">
            <v>8409.769195299992</v>
          </cell>
          <cell r="D181">
            <v>10853.033250040942</v>
          </cell>
          <cell r="E181">
            <v>11421.987304781887</v>
          </cell>
          <cell r="F181">
            <v>22877.641359522837</v>
          </cell>
          <cell r="G181">
            <v>22300.76541426378</v>
          </cell>
          <cell r="H181">
            <v>24632.85946900473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">
          <cell r="B8">
            <v>5155.612281059999</v>
          </cell>
          <cell r="C8">
            <v>6848.436302679999</v>
          </cell>
          <cell r="D8">
            <v>6443.3603243</v>
          </cell>
          <cell r="E8">
            <v>6104.61213592</v>
          </cell>
          <cell r="F8">
            <v>5613.784345919999</v>
          </cell>
        </row>
      </sheetData>
      <sheetData sheetId="12" refreshError="1"/>
      <sheetData sheetId="13" refreshError="1"/>
      <sheetData sheetId="14" refreshError="1"/>
      <sheetData sheetId="15">
        <row r="8">
          <cell r="B8">
            <v>3246922.64</v>
          </cell>
          <cell r="C8">
            <v>4115818.237333333</v>
          </cell>
          <cell r="D8">
            <v>4901972.954133334</v>
          </cell>
          <cell r="E8">
            <v>5212927.670933333</v>
          </cell>
          <cell r="F8">
            <v>4849141.507199999</v>
          </cell>
        </row>
      </sheetData>
      <sheetData sheetId="16" refreshError="1"/>
      <sheetData sheetId="17">
        <row r="6">
          <cell r="B6">
            <v>-23832435.626595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showGridLines="0" tabSelected="1" zoomScale="80" zoomScaleNormal="80" workbookViewId="0" topLeftCell="A1">
      <selection activeCell="C27" sqref="C27"/>
    </sheetView>
  </sheetViews>
  <sheetFormatPr defaultColWidth="11.421875" defaultRowHeight="12.75"/>
  <cols>
    <col min="1" max="1" width="5.8515625" style="133" customWidth="1"/>
    <col min="2" max="2" width="52.00390625" style="133" customWidth="1"/>
    <col min="3" max="3" width="17.57421875" style="133" customWidth="1"/>
    <col min="4" max="4" width="21.7109375" style="133" customWidth="1"/>
    <col min="5" max="5" width="17.28125" style="133" customWidth="1"/>
    <col min="6" max="6" width="20.140625" style="133" customWidth="1"/>
    <col min="7" max="7" width="17.421875" style="133" customWidth="1"/>
    <col min="8" max="8" width="20.00390625" style="133" customWidth="1"/>
    <col min="9" max="9" width="17.00390625" style="133" customWidth="1"/>
    <col min="10" max="10" width="19.28125" style="133" customWidth="1"/>
    <col min="11" max="11" width="7.00390625" style="133" customWidth="1"/>
    <col min="12" max="16384" width="11.421875" style="133" customWidth="1"/>
  </cols>
  <sheetData>
    <row r="1" spans="2:10" ht="28.5" customHeight="1">
      <c r="B1" s="969" t="s">
        <v>210</v>
      </c>
      <c r="C1" s="969"/>
      <c r="D1" s="969"/>
      <c r="E1" s="970"/>
      <c r="F1" s="970"/>
      <c r="G1" s="970"/>
      <c r="H1" s="970"/>
      <c r="I1" s="970"/>
      <c r="J1" s="970"/>
    </row>
    <row r="2" spans="2:10" ht="28.5" customHeight="1">
      <c r="B2" s="969" t="s">
        <v>211</v>
      </c>
      <c r="C2" s="969"/>
      <c r="D2" s="969"/>
      <c r="E2" s="970"/>
      <c r="F2" s="970"/>
      <c r="G2" s="970"/>
      <c r="H2" s="970"/>
      <c r="I2" s="970"/>
      <c r="J2" s="970"/>
    </row>
    <row r="3" spans="2:10" ht="28.5" customHeight="1" thickBot="1">
      <c r="B3" s="969" t="s">
        <v>231</v>
      </c>
      <c r="C3" s="969"/>
      <c r="D3" s="969"/>
      <c r="E3" s="970"/>
      <c r="F3" s="970"/>
      <c r="G3" s="970"/>
      <c r="H3" s="970"/>
      <c r="I3" s="970"/>
      <c r="J3" s="970"/>
    </row>
    <row r="4" spans="2:10" ht="28.5" customHeight="1" thickBot="1">
      <c r="B4" s="915"/>
      <c r="C4" s="965" t="str">
        <f>'VERIFICACIÓN DE INGRESOS'!D10</f>
        <v>2013-2014</v>
      </c>
      <c r="D4" s="968"/>
      <c r="E4" s="965" t="str">
        <f>'VERIFICACIÓN DE INGRESOS'!E10</f>
        <v>2014-2015</v>
      </c>
      <c r="F4" s="966"/>
      <c r="G4" s="967" t="str">
        <f>'VERIFICACIÓN DE INGRESOS'!F10</f>
        <v>2015-2016</v>
      </c>
      <c r="H4" s="968"/>
      <c r="I4" s="965" t="str">
        <f>'VERIFICACIÓN DE INGRESOS'!G10</f>
        <v>2016-2017</v>
      </c>
      <c r="J4" s="966"/>
    </row>
    <row r="5" spans="2:10" ht="26.45" customHeight="1">
      <c r="B5" s="971" t="s">
        <v>24</v>
      </c>
      <c r="C5" s="983" t="s">
        <v>114</v>
      </c>
      <c r="D5" s="973" t="s">
        <v>200</v>
      </c>
      <c r="E5" s="971" t="s">
        <v>114</v>
      </c>
      <c r="F5" s="973" t="s">
        <v>200</v>
      </c>
      <c r="G5" s="977" t="s">
        <v>114</v>
      </c>
      <c r="H5" s="979" t="s">
        <v>200</v>
      </c>
      <c r="I5" s="971" t="s">
        <v>114</v>
      </c>
      <c r="J5" s="973" t="s">
        <v>200</v>
      </c>
    </row>
    <row r="6" spans="2:10" ht="16.9" customHeight="1">
      <c r="B6" s="972"/>
      <c r="C6" s="984"/>
      <c r="D6" s="974"/>
      <c r="E6" s="972"/>
      <c r="F6" s="974"/>
      <c r="G6" s="978"/>
      <c r="H6" s="980"/>
      <c r="I6" s="972"/>
      <c r="J6" s="974"/>
    </row>
    <row r="7" spans="2:10" ht="15.75">
      <c r="B7" s="491" t="s">
        <v>3</v>
      </c>
      <c r="C7" s="982" t="s">
        <v>185</v>
      </c>
      <c r="D7" s="976"/>
      <c r="E7" s="975" t="s">
        <v>185</v>
      </c>
      <c r="F7" s="976"/>
      <c r="G7" s="981" t="s">
        <v>185</v>
      </c>
      <c r="H7" s="981"/>
      <c r="I7" s="975" t="s">
        <v>185</v>
      </c>
      <c r="J7" s="976"/>
    </row>
    <row r="8" spans="2:10" ht="15">
      <c r="B8" s="492" t="s">
        <v>148</v>
      </c>
      <c r="C8" s="489">
        <f>+'CX cxj Año1 '!K12</f>
        <v>86.26955782499999</v>
      </c>
      <c r="D8" s="493">
        <f>+'CX cxj Año1 '!M12</f>
        <v>53.46</v>
      </c>
      <c r="E8" s="937">
        <f>'CX cxj Año2'!K12</f>
        <v>86.26955782499999</v>
      </c>
      <c r="F8" s="493">
        <f>'CX cxj Año2'!M12</f>
        <v>53.46</v>
      </c>
      <c r="G8" s="935">
        <f>'CX cxj Año3'!K12</f>
        <v>86.26955782499999</v>
      </c>
      <c r="H8" s="490">
        <f>'CX cxj Año3'!M12</f>
        <v>53.46</v>
      </c>
      <c r="I8" s="937">
        <f>'CX cxj Año4'!K12</f>
        <v>86.26955782499999</v>
      </c>
      <c r="J8" s="493">
        <f>'CX cxj Año4'!M12</f>
        <v>53.46</v>
      </c>
    </row>
    <row r="9" spans="2:10" ht="15">
      <c r="B9" s="492" t="s">
        <v>149</v>
      </c>
      <c r="C9" s="489">
        <f>+'CX cxj Año1 '!K13</f>
        <v>75.39622309285714</v>
      </c>
      <c r="D9" s="493">
        <f>+'CX cxj Año1 '!M13</f>
        <v>46.72</v>
      </c>
      <c r="E9" s="937">
        <f>'CX cxj Año2'!K13</f>
        <v>75.39622309285714</v>
      </c>
      <c r="F9" s="493">
        <f>'CX cxj Año2'!M13</f>
        <v>46.72</v>
      </c>
      <c r="G9" s="935">
        <f>'CX cxj Año3'!K13</f>
        <v>75.39622309285714</v>
      </c>
      <c r="H9" s="490">
        <f>'CX cxj Año3'!M13</f>
        <v>46.72</v>
      </c>
      <c r="I9" s="937">
        <f>'CX cxj Año4'!K13</f>
        <v>75.39622309285714</v>
      </c>
      <c r="J9" s="493">
        <f>'CX cxj Año4'!M13</f>
        <v>46.72</v>
      </c>
    </row>
    <row r="10" spans="2:10" ht="15">
      <c r="B10" s="492" t="s">
        <v>150</v>
      </c>
      <c r="C10" s="489">
        <f>+'CX cxj Año1 '!K14</f>
        <v>75.97263</v>
      </c>
      <c r="D10" s="493">
        <f>+'CX cxj Año1 '!M14</f>
        <v>47.08</v>
      </c>
      <c r="E10" s="937">
        <f>'CX cxj Año2'!K14</f>
        <v>75.97263</v>
      </c>
      <c r="F10" s="493">
        <f>'CX cxj Año2'!M14</f>
        <v>47.08</v>
      </c>
      <c r="G10" s="935">
        <f>'CX cxj Año3'!K14</f>
        <v>75.97263</v>
      </c>
      <c r="H10" s="490">
        <f>'CX cxj Año3'!M14</f>
        <v>47.08</v>
      </c>
      <c r="I10" s="937">
        <f>'CX cxj Año4'!K14</f>
        <v>75.97263</v>
      </c>
      <c r="J10" s="493">
        <f>'CX cxj Año4'!M14</f>
        <v>47.08</v>
      </c>
    </row>
    <row r="11" spans="2:10" ht="15">
      <c r="B11" s="492" t="s">
        <v>151</v>
      </c>
      <c r="C11" s="489">
        <f>+'CX cxj Año1 '!K15</f>
        <v>167.53768987499998</v>
      </c>
      <c r="D11" s="493">
        <f>+'CX cxj Año1 '!M15</f>
        <v>103.82</v>
      </c>
      <c r="E11" s="937">
        <f>'CX cxj Año2'!K15</f>
        <v>167.53768987499998</v>
      </c>
      <c r="F11" s="493">
        <f>'CX cxj Año2'!M15</f>
        <v>103.82</v>
      </c>
      <c r="G11" s="935">
        <f>'CX cxj Año3'!K15</f>
        <v>167.53768987499998</v>
      </c>
      <c r="H11" s="490">
        <f>'CX cxj Año3'!M15</f>
        <v>103.82</v>
      </c>
      <c r="I11" s="937">
        <f>'CX cxj Año4'!K15</f>
        <v>167.53768987499998</v>
      </c>
      <c r="J11" s="493">
        <f>'CX cxj Año4'!M15</f>
        <v>103.82</v>
      </c>
    </row>
    <row r="12" spans="2:10" ht="15">
      <c r="B12" s="492" t="s">
        <v>317</v>
      </c>
      <c r="C12" s="489" t="str">
        <f>+'CX cxj Año1 '!K16</f>
        <v>N/A</v>
      </c>
      <c r="D12" s="493" t="str">
        <f>+'CX cxj Año1 '!M16</f>
        <v>N/A</v>
      </c>
      <c r="E12" s="937" t="str">
        <f>'CX cxj Año2'!K16</f>
        <v>N/A</v>
      </c>
      <c r="F12" s="493" t="str">
        <f>'CX cxj Año2'!M16</f>
        <v>N/A</v>
      </c>
      <c r="G12" s="935" t="str">
        <f>'CX cxj Año3'!K16</f>
        <v>N/A</v>
      </c>
      <c r="H12" s="490" t="str">
        <f>'CX cxj Año3'!M16</f>
        <v>N/A</v>
      </c>
      <c r="I12" s="937" t="str">
        <f>'CX cxj Año4'!K16</f>
        <v>N/A</v>
      </c>
      <c r="J12" s="493" t="str">
        <f>'CX cxj Año4'!M16</f>
        <v>N/A</v>
      </c>
    </row>
    <row r="13" spans="2:10" ht="15">
      <c r="B13" s="492" t="s">
        <v>318</v>
      </c>
      <c r="C13" s="489" t="str">
        <f>+'CX cxj Año1 '!K17</f>
        <v>N/A</v>
      </c>
      <c r="D13" s="493" t="str">
        <f>+'CX cxj Año1 '!M17</f>
        <v>N/A</v>
      </c>
      <c r="E13" s="937" t="str">
        <f>'CX cxj Año2'!K17</f>
        <v>N/A</v>
      </c>
      <c r="F13" s="493" t="str">
        <f>'CX cxj Año2'!M17</f>
        <v>N/A</v>
      </c>
      <c r="G13" s="935" t="str">
        <f>'CX cxj Año3'!K17</f>
        <v>N/A</v>
      </c>
      <c r="H13" s="490" t="str">
        <f>'CX cxj Año3'!M17</f>
        <v>N/A</v>
      </c>
      <c r="I13" s="937" t="str">
        <f>'CX cxj Año4'!K17</f>
        <v>N/A</v>
      </c>
      <c r="J13" s="493" t="str">
        <f>'CX cxj Año4'!M17</f>
        <v>N/A</v>
      </c>
    </row>
    <row r="14" spans="2:10" ht="15">
      <c r="B14" s="492" t="s">
        <v>152</v>
      </c>
      <c r="C14" s="489">
        <f>+'CX cxj Año1 '!K18</f>
        <v>235.99109744999998</v>
      </c>
      <c r="D14" s="493">
        <f>+'CX cxj Año1 '!M18</f>
        <v>146.24</v>
      </c>
      <c r="E14" s="937">
        <f>'CX cxj Año2'!K18</f>
        <v>235.99109744999998</v>
      </c>
      <c r="F14" s="493">
        <f>'CX cxj Año2'!M18</f>
        <v>146.24</v>
      </c>
      <c r="G14" s="935">
        <f>'CX cxj Año3'!K18</f>
        <v>235.99109744999998</v>
      </c>
      <c r="H14" s="490">
        <f>'CX cxj Año3'!M18</f>
        <v>146.24</v>
      </c>
      <c r="I14" s="937">
        <f>'CX cxj Año4'!K18</f>
        <v>235.99109744999998</v>
      </c>
      <c r="J14" s="493">
        <f>'CX cxj Año4'!M18</f>
        <v>146.24</v>
      </c>
    </row>
    <row r="15" spans="2:10" ht="15">
      <c r="B15" s="492" t="s">
        <v>271</v>
      </c>
      <c r="C15" s="489">
        <f>+'CX cxj Año1 '!K19</f>
        <v>108.4935</v>
      </c>
      <c r="D15" s="493">
        <f>+'CX cxj Año1 '!M19</f>
        <v>67.23</v>
      </c>
      <c r="E15" s="937">
        <f>'CX cxj Año2'!K19</f>
        <v>325.4805</v>
      </c>
      <c r="F15" s="493">
        <f>'CX cxj Año2'!M19</f>
        <v>201.7</v>
      </c>
      <c r="G15" s="935">
        <f>'CX cxj Año3'!K19</f>
        <v>433.974</v>
      </c>
      <c r="H15" s="490">
        <f>'CX cxj Año3'!M19</f>
        <v>268.93</v>
      </c>
      <c r="I15" s="937">
        <f>'CX cxj Año4'!K19</f>
        <v>433.974</v>
      </c>
      <c r="J15" s="493">
        <f>'CX cxj Año4'!M19</f>
        <v>268.93</v>
      </c>
    </row>
    <row r="16" spans="2:10" ht="15.75">
      <c r="B16" s="491" t="s">
        <v>4</v>
      </c>
      <c r="C16" s="982" t="s">
        <v>315</v>
      </c>
      <c r="D16" s="976"/>
      <c r="E16" s="975" t="s">
        <v>315</v>
      </c>
      <c r="F16" s="976"/>
      <c r="G16" s="981" t="s">
        <v>315</v>
      </c>
      <c r="H16" s="981"/>
      <c r="I16" s="975" t="s">
        <v>315</v>
      </c>
      <c r="J16" s="976"/>
    </row>
    <row r="17" spans="2:10" ht="15">
      <c r="B17" s="494" t="s">
        <v>276</v>
      </c>
      <c r="C17" s="489">
        <f>+'CX cxj Año1 '!K21</f>
        <v>4.47892425</v>
      </c>
      <c r="D17" s="493">
        <f>+'CX cxj Año1 '!M21</f>
        <v>2.78</v>
      </c>
      <c r="E17" s="937">
        <f>'CX cxj Año2'!K21</f>
        <v>5.657517</v>
      </c>
      <c r="F17" s="493">
        <f>'CX cxj Año2'!M21</f>
        <v>3.51</v>
      </c>
      <c r="G17" s="935">
        <f>'CX cxj Año3'!K21</f>
        <v>5.657517</v>
      </c>
      <c r="H17" s="490">
        <f>'CX cxj Año3'!M21</f>
        <v>3.51</v>
      </c>
      <c r="I17" s="937">
        <f>'CX cxj Año4'!K21</f>
        <v>5.657517</v>
      </c>
      <c r="J17" s="493">
        <f>'CX cxj Año4'!M21</f>
        <v>3.51</v>
      </c>
    </row>
    <row r="18" spans="2:10" ht="15">
      <c r="B18" s="495" t="s">
        <v>5</v>
      </c>
      <c r="C18" s="489">
        <f>+'CX cxj Año1 '!K22</f>
        <v>7.242185745</v>
      </c>
      <c r="D18" s="493">
        <f>+'CX cxj Año1 '!M22</f>
        <v>4.49</v>
      </c>
      <c r="E18" s="937">
        <f>'CX cxj Año2'!K22</f>
        <v>7.242185745</v>
      </c>
      <c r="F18" s="493">
        <f>'CX cxj Año2'!M22</f>
        <v>4.49</v>
      </c>
      <c r="G18" s="935">
        <f>'CX cxj Año3'!K22</f>
        <v>7.242185745</v>
      </c>
      <c r="H18" s="490">
        <f>'CX cxj Año3'!M22</f>
        <v>4.49</v>
      </c>
      <c r="I18" s="937">
        <f>'CX cxj Año4'!K22</f>
        <v>7.242185745</v>
      </c>
      <c r="J18" s="493">
        <f>'CX cxj Año4'!M22</f>
        <v>4.49</v>
      </c>
    </row>
    <row r="19" spans="2:10" ht="15">
      <c r="B19" s="495" t="s">
        <v>6</v>
      </c>
      <c r="C19" s="489">
        <f>+'CX cxj Año1 '!K23</f>
        <v>6.796961037000001</v>
      </c>
      <c r="D19" s="493">
        <f>+'CX cxj Año1 '!M23</f>
        <v>4.21</v>
      </c>
      <c r="E19" s="937">
        <f>'CX cxj Año2'!K23</f>
        <v>6.796961037000001</v>
      </c>
      <c r="F19" s="493">
        <f>'CX cxj Año2'!M23</f>
        <v>4.21</v>
      </c>
      <c r="G19" s="935">
        <f>'CX cxj Año3'!K23</f>
        <v>6.796961037000001</v>
      </c>
      <c r="H19" s="490">
        <f>'CX cxj Año3'!M23</f>
        <v>4.21</v>
      </c>
      <c r="I19" s="937">
        <f>'CX cxj Año4'!K23</f>
        <v>6.796961037000001</v>
      </c>
      <c r="J19" s="493">
        <f>'CX cxj Año4'!M23</f>
        <v>4.21</v>
      </c>
    </row>
    <row r="20" spans="2:10" ht="15">
      <c r="B20" s="495" t="s">
        <v>7</v>
      </c>
      <c r="C20" s="489">
        <f>+'CX cxj Año1 '!K24</f>
        <v>10.014799424999998</v>
      </c>
      <c r="D20" s="493">
        <f>+'CX cxj Año1 '!M24</f>
        <v>6.21</v>
      </c>
      <c r="E20" s="937">
        <f>'CX cxj Año2'!K24</f>
        <v>10.014799424999998</v>
      </c>
      <c r="F20" s="493">
        <f>'CX cxj Año2'!M24</f>
        <v>6.21</v>
      </c>
      <c r="G20" s="935">
        <f>'CX cxj Año3'!K24</f>
        <v>10.014799424999998</v>
      </c>
      <c r="H20" s="490">
        <f>'CX cxj Año3'!M24</f>
        <v>6.21</v>
      </c>
      <c r="I20" s="937">
        <f>'CX cxj Año4'!K24</f>
        <v>10.014799424999998</v>
      </c>
      <c r="J20" s="493">
        <f>'CX cxj Año4'!M24</f>
        <v>6.21</v>
      </c>
    </row>
    <row r="21" spans="2:10" ht="15.75">
      <c r="B21" s="496" t="s">
        <v>8</v>
      </c>
      <c r="C21" s="982" t="s">
        <v>316</v>
      </c>
      <c r="D21" s="976"/>
      <c r="E21" s="975" t="s">
        <v>316</v>
      </c>
      <c r="F21" s="976"/>
      <c r="G21" s="981" t="s">
        <v>316</v>
      </c>
      <c r="H21" s="981"/>
      <c r="I21" s="975" t="s">
        <v>316</v>
      </c>
      <c r="J21" s="976"/>
    </row>
    <row r="22" spans="2:10" ht="15">
      <c r="B22" s="497" t="s">
        <v>205</v>
      </c>
      <c r="C22" s="489">
        <f>+'CX cxj Año1 '!K26</f>
        <v>17.322913973890344</v>
      </c>
      <c r="D22" s="498">
        <f>+'CX cxj Año1 '!M26</f>
        <v>10.73</v>
      </c>
      <c r="E22" s="937">
        <f>'CX cxj Año2'!K26</f>
        <v>17.322913973890344</v>
      </c>
      <c r="F22" s="493">
        <f>'CX cxj Año2'!M26</f>
        <v>10.73</v>
      </c>
      <c r="G22" s="935">
        <f>'CX cxj Año3'!K26</f>
        <v>17.322913973890344</v>
      </c>
      <c r="H22" s="490">
        <f>'CX cxj Año3'!M26</f>
        <v>10.73</v>
      </c>
      <c r="I22" s="937">
        <f>'CX cxj Año4'!K26</f>
        <v>17.322913973890344</v>
      </c>
      <c r="J22" s="493">
        <f>'CX cxj Año4'!M26</f>
        <v>10.73</v>
      </c>
    </row>
    <row r="23" spans="2:10" ht="15.75">
      <c r="B23" s="497" t="s">
        <v>209</v>
      </c>
      <c r="C23" s="489">
        <f>+'CX cxj Año1 '!K27</f>
        <v>0</v>
      </c>
      <c r="D23" s="499" t="str">
        <f>+'CX cxj Año1 '!M27</f>
        <v>N/A</v>
      </c>
      <c r="E23" s="937" t="str">
        <f>+'CX cxj Año1 '!M27</f>
        <v>N/A</v>
      </c>
      <c r="F23" s="499">
        <f>+'CX cxj Año1 '!O27</f>
        <v>0</v>
      </c>
      <c r="G23" s="935">
        <f>+'CX cxj Año1 '!O27</f>
        <v>0</v>
      </c>
      <c r="H23" s="939">
        <f>+'CX cxj Año1 '!Q27</f>
        <v>0</v>
      </c>
      <c r="I23" s="937">
        <f>+'CX cxj Año1 '!Q27</f>
        <v>0</v>
      </c>
      <c r="J23" s="499">
        <f>+'CX cxj Año1 '!S27</f>
        <v>0</v>
      </c>
    </row>
    <row r="24" spans="2:10" ht="15.75">
      <c r="B24" s="497" t="s">
        <v>155</v>
      </c>
      <c r="C24" s="489">
        <f>+'CX cxj Año1 '!K28</f>
        <v>0</v>
      </c>
      <c r="D24" s="499" t="str">
        <f>+'CX cxj Año1 '!M28</f>
        <v>N/A</v>
      </c>
      <c r="E24" s="937" t="str">
        <f>+'CX cxj Año1 '!M28</f>
        <v>N/A</v>
      </c>
      <c r="F24" s="499">
        <f>+'CX cxj Año1 '!O28</f>
        <v>0</v>
      </c>
      <c r="G24" s="935">
        <f>+'CX cxj Año1 '!O28</f>
        <v>0</v>
      </c>
      <c r="H24" s="939">
        <f>+'CX cxj Año1 '!Q28</f>
        <v>0</v>
      </c>
      <c r="I24" s="937">
        <f>+'CX cxj Año1 '!Q28</f>
        <v>0</v>
      </c>
      <c r="J24" s="499">
        <f>+'CX cxj Año1 '!S28</f>
        <v>0</v>
      </c>
    </row>
    <row r="25" spans="2:10" ht="15.75">
      <c r="B25" s="497" t="s">
        <v>204</v>
      </c>
      <c r="C25" s="489">
        <f>+'CX cxj Año1 '!K29</f>
        <v>0</v>
      </c>
      <c r="D25" s="499" t="str">
        <f>+'CX cxj Año1 '!M31</f>
        <v>N/A</v>
      </c>
      <c r="E25" s="937" t="str">
        <f>+'CX cxj Año1 '!M29</f>
        <v>N/A</v>
      </c>
      <c r="F25" s="499">
        <f>+'CX cxj Año1 '!O31</f>
        <v>0</v>
      </c>
      <c r="G25" s="935">
        <f>+'CX cxj Año1 '!O29</f>
        <v>0</v>
      </c>
      <c r="H25" s="939">
        <f>+'CX cxj Año1 '!Q31</f>
        <v>0</v>
      </c>
      <c r="I25" s="937">
        <f>+'CX cxj Año1 '!Q29</f>
        <v>0</v>
      </c>
      <c r="J25" s="499">
        <f>+'CX cxj Año1 '!S31</f>
        <v>0</v>
      </c>
    </row>
    <row r="26" spans="2:10" ht="15.75">
      <c r="B26" s="497" t="s">
        <v>208</v>
      </c>
      <c r="C26" s="489">
        <f>+'CX cxj Año1 '!K30</f>
        <v>0</v>
      </c>
      <c r="D26" s="499" t="s">
        <v>198</v>
      </c>
      <c r="E26" s="937" t="str">
        <f>+'CX cxj Año1 '!M30</f>
        <v>N/A</v>
      </c>
      <c r="F26" s="499" t="s">
        <v>198</v>
      </c>
      <c r="G26" s="935">
        <f>+'CX cxj Año1 '!O30</f>
        <v>0</v>
      </c>
      <c r="H26" s="939" t="s">
        <v>198</v>
      </c>
      <c r="I26" s="937">
        <f>+'CX cxj Año1 '!Q30</f>
        <v>0</v>
      </c>
      <c r="J26" s="499" t="s">
        <v>198</v>
      </c>
    </row>
    <row r="27" spans="2:10" ht="15.75">
      <c r="B27" s="497" t="s">
        <v>207</v>
      </c>
      <c r="C27" s="489">
        <f>+'CX cxj Año1 '!K31</f>
        <v>0</v>
      </c>
      <c r="D27" s="499" t="s">
        <v>198</v>
      </c>
      <c r="E27" s="937" t="str">
        <f>+'CX cxj Año1 '!M31</f>
        <v>N/A</v>
      </c>
      <c r="F27" s="499" t="s">
        <v>198</v>
      </c>
      <c r="G27" s="935">
        <f>+'CX cxj Año1 '!O31</f>
        <v>0</v>
      </c>
      <c r="H27" s="939" t="s">
        <v>198</v>
      </c>
      <c r="I27" s="937">
        <f>+'CX cxj Año1 '!Q31</f>
        <v>0</v>
      </c>
      <c r="J27" s="499" t="s">
        <v>198</v>
      </c>
    </row>
    <row r="28" spans="2:10" ht="16.5" thickBot="1">
      <c r="B28" s="502" t="s">
        <v>274</v>
      </c>
      <c r="C28" s="503"/>
      <c r="D28" s="504" t="s">
        <v>198</v>
      </c>
      <c r="E28" s="938">
        <f>+'CX cxj  expansión condicion'!J18</f>
        <v>0</v>
      </c>
      <c r="F28" s="504" t="s">
        <v>198</v>
      </c>
      <c r="G28" s="936">
        <f>+'CX cxj  expansión condicion'!L18</f>
        <v>0</v>
      </c>
      <c r="H28" s="940" t="s">
        <v>198</v>
      </c>
      <c r="I28" s="938">
        <f>+'CX cxj  expansión condicion'!N18</f>
        <v>0</v>
      </c>
      <c r="J28" s="504" t="s">
        <v>198</v>
      </c>
    </row>
    <row r="29" spans="2:10" ht="16.5" thickBot="1">
      <c r="B29" s="212"/>
      <c r="C29" s="875"/>
      <c r="D29" s="876"/>
      <c r="E29" s="875"/>
      <c r="F29" s="876"/>
      <c r="G29" s="875"/>
      <c r="H29" s="876"/>
      <c r="I29" s="875"/>
      <c r="J29" s="876"/>
    </row>
    <row r="30" spans="2:9" ht="18.75" customHeight="1">
      <c r="B30" s="985" t="s">
        <v>196</v>
      </c>
      <c r="C30" s="986"/>
      <c r="D30" s="987"/>
      <c r="E30" s="321"/>
      <c r="F30" s="321"/>
      <c r="G30" s="320"/>
      <c r="H30" s="320"/>
      <c r="I30" s="320"/>
    </row>
    <row r="31" spans="2:9" ht="30.75">
      <c r="B31" s="500" t="s">
        <v>197</v>
      </c>
      <c r="C31" s="982" t="s">
        <v>185</v>
      </c>
      <c r="D31" s="976"/>
      <c r="E31" s="322"/>
      <c r="F31" s="321"/>
      <c r="G31" s="320"/>
      <c r="H31" s="320"/>
      <c r="I31" s="320"/>
    </row>
    <row r="32" spans="2:9" ht="15.75">
      <c r="B32" s="497" t="s">
        <v>187</v>
      </c>
      <c r="C32" s="489">
        <f>+'CX cxj  expansión condicion'!H11</f>
        <v>224.98381663758</v>
      </c>
      <c r="D32" s="501" t="s">
        <v>198</v>
      </c>
      <c r="E32" s="322"/>
      <c r="F32" s="321"/>
      <c r="G32" s="320"/>
      <c r="H32" s="320"/>
      <c r="I32" s="320"/>
    </row>
    <row r="33" spans="2:9" ht="15.75">
      <c r="B33" s="497" t="s">
        <v>188</v>
      </c>
      <c r="C33" s="489">
        <f>+'CX cxj  expansión condicion'!H12</f>
        <v>390.58774032096</v>
      </c>
      <c r="D33" s="499" t="s">
        <v>198</v>
      </c>
      <c r="E33" s="322"/>
      <c r="F33" s="321"/>
      <c r="G33" s="320"/>
      <c r="H33" s="320"/>
      <c r="I33" s="320"/>
    </row>
    <row r="34" spans="2:9" ht="15.75">
      <c r="B34" s="497" t="s">
        <v>189</v>
      </c>
      <c r="C34" s="489">
        <f>+'CX cxj  expansión condicion'!H13</f>
        <v>157.32356255506386</v>
      </c>
      <c r="D34" s="499" t="s">
        <v>198</v>
      </c>
      <c r="E34" s="322"/>
      <c r="F34" s="321"/>
      <c r="G34" s="320"/>
      <c r="H34" s="320"/>
      <c r="I34" s="320"/>
    </row>
    <row r="35" spans="2:9" ht="15.75">
      <c r="B35" s="497" t="s">
        <v>190</v>
      </c>
      <c r="C35" s="489">
        <f>+'CX cxj  expansión condicion'!H14</f>
        <v>271.1018702770478</v>
      </c>
      <c r="D35" s="499" t="s">
        <v>198</v>
      </c>
      <c r="E35" s="322"/>
      <c r="F35" s="321"/>
      <c r="G35" s="320"/>
      <c r="H35" s="320"/>
      <c r="I35" s="320"/>
    </row>
    <row r="36" spans="2:9" ht="15.75">
      <c r="B36" s="497" t="s">
        <v>191</v>
      </c>
      <c r="C36" s="489">
        <f>+'CX cxj  expansión condicion'!H15</f>
        <v>57.54564582561738</v>
      </c>
      <c r="D36" s="499" t="s">
        <v>198</v>
      </c>
      <c r="E36" s="322"/>
      <c r="F36" s="321"/>
      <c r="G36" s="320"/>
      <c r="H36" s="320"/>
      <c r="I36" s="320"/>
    </row>
    <row r="37" spans="2:9" ht="16.5" thickBot="1">
      <c r="B37" s="502" t="s">
        <v>192</v>
      </c>
      <c r="C37" s="503">
        <f>+'CX cxj  expansión condicion'!H16</f>
        <v>92.45660314511336</v>
      </c>
      <c r="D37" s="504" t="s">
        <v>198</v>
      </c>
      <c r="E37" s="322"/>
      <c r="F37" s="321"/>
      <c r="G37" s="320"/>
      <c r="H37" s="320"/>
      <c r="I37" s="320"/>
    </row>
    <row r="38" spans="2:9" ht="15.75">
      <c r="B38" s="212"/>
      <c r="C38" s="875"/>
      <c r="D38" s="876"/>
      <c r="E38" s="322"/>
      <c r="F38" s="321"/>
      <c r="G38" s="320"/>
      <c r="H38" s="320"/>
      <c r="I38" s="320"/>
    </row>
    <row r="39" spans="2:9" ht="15">
      <c r="B39" s="212" t="s">
        <v>213</v>
      </c>
      <c r="C39" s="322"/>
      <c r="D39" s="322"/>
      <c r="E39" s="322"/>
      <c r="F39" s="321"/>
      <c r="G39" s="320"/>
      <c r="H39" s="320"/>
      <c r="I39" s="320"/>
    </row>
    <row r="40" spans="2:9" ht="15">
      <c r="B40" s="212" t="s">
        <v>212</v>
      </c>
      <c r="C40" s="322"/>
      <c r="D40" s="322"/>
      <c r="E40" s="322"/>
      <c r="F40" s="321"/>
      <c r="G40" s="320"/>
      <c r="H40" s="320"/>
      <c r="I40" s="320"/>
    </row>
    <row r="41" spans="2:9" ht="15">
      <c r="B41" s="212" t="s">
        <v>243</v>
      </c>
      <c r="C41" s="322"/>
      <c r="D41" s="322"/>
      <c r="E41" s="322"/>
      <c r="F41" s="321"/>
      <c r="G41" s="320"/>
      <c r="H41" s="320"/>
      <c r="I41" s="320"/>
    </row>
    <row r="42" spans="2:9" ht="15">
      <c r="B42" s="212" t="s">
        <v>265</v>
      </c>
      <c r="C42" s="322"/>
      <c r="D42" s="322"/>
      <c r="E42" s="322"/>
      <c r="F42" s="321"/>
      <c r="G42" s="320"/>
      <c r="H42" s="320"/>
      <c r="I42" s="320"/>
    </row>
    <row r="43" spans="2:9" ht="15">
      <c r="B43" s="212" t="s">
        <v>266</v>
      </c>
      <c r="C43" s="322"/>
      <c r="D43" s="322"/>
      <c r="E43" s="322"/>
      <c r="F43" s="321"/>
      <c r="G43" s="320"/>
      <c r="H43" s="320"/>
      <c r="I43" s="320"/>
    </row>
    <row r="44" spans="2:9" ht="15">
      <c r="B44" s="212"/>
      <c r="C44" s="322"/>
      <c r="D44" s="322"/>
      <c r="E44" s="322"/>
      <c r="F44" s="321"/>
      <c r="G44" s="320"/>
      <c r="H44" s="320"/>
      <c r="I44" s="320"/>
    </row>
    <row r="45" spans="2:9" ht="15">
      <c r="B45" s="212" t="s">
        <v>275</v>
      </c>
      <c r="C45" s="322"/>
      <c r="D45" s="322"/>
      <c r="E45" s="322"/>
      <c r="F45" s="321"/>
      <c r="G45" s="320"/>
      <c r="H45" s="320"/>
      <c r="I45" s="320"/>
    </row>
    <row r="46" spans="2:9" ht="15">
      <c r="B46" s="212" t="s">
        <v>244</v>
      </c>
      <c r="C46" s="322"/>
      <c r="D46" s="322"/>
      <c r="E46" s="322"/>
      <c r="F46" s="321"/>
      <c r="G46" s="320"/>
      <c r="H46" s="320"/>
      <c r="I46" s="320"/>
    </row>
    <row r="47" spans="2:9" ht="15">
      <c r="B47" s="212"/>
      <c r="C47" s="322"/>
      <c r="D47" s="322"/>
      <c r="E47" s="322"/>
      <c r="F47" s="321"/>
      <c r="G47" s="320"/>
      <c r="H47" s="320"/>
      <c r="I47" s="320"/>
    </row>
    <row r="48" spans="3:6" ht="15">
      <c r="C48" s="212"/>
      <c r="D48" s="212"/>
      <c r="E48" s="212"/>
      <c r="F48" s="31"/>
    </row>
    <row r="49" spans="2:6" ht="15">
      <c r="B49" s="212"/>
      <c r="C49" s="212"/>
      <c r="D49" s="212"/>
      <c r="E49" s="212"/>
      <c r="F49" s="31"/>
    </row>
    <row r="50" spans="2:6" ht="15">
      <c r="B50" s="212"/>
      <c r="C50" s="212"/>
      <c r="D50" s="212"/>
      <c r="E50" s="212"/>
      <c r="F50" s="31"/>
    </row>
    <row r="51" spans="2:6" ht="15">
      <c r="B51" s="212"/>
      <c r="C51" s="212"/>
      <c r="D51" s="212"/>
      <c r="E51" s="212"/>
      <c r="F51" s="31"/>
    </row>
    <row r="52" spans="2:6" ht="15">
      <c r="B52" s="212"/>
      <c r="C52" s="212"/>
      <c r="D52" s="212"/>
      <c r="E52" s="212"/>
      <c r="F52" s="31"/>
    </row>
    <row r="53" spans="2:6" ht="15">
      <c r="B53" s="212"/>
      <c r="C53" s="212"/>
      <c r="D53" s="212"/>
      <c r="E53" s="212"/>
      <c r="F53" s="31"/>
    </row>
    <row r="54" spans="3:6" ht="12.75">
      <c r="C54" s="31"/>
      <c r="D54" s="31"/>
      <c r="E54" s="31"/>
      <c r="F54" s="31"/>
    </row>
    <row r="55" spans="5:6" ht="12.75">
      <c r="E55" s="31"/>
      <c r="F55" s="31"/>
    </row>
  </sheetData>
  <sheetProtection password="CC53" sheet="1" objects="1" scenarios="1"/>
  <mergeCells count="30">
    <mergeCell ref="C31:D31"/>
    <mergeCell ref="C7:D7"/>
    <mergeCell ref="C16:D16"/>
    <mergeCell ref="C21:D21"/>
    <mergeCell ref="B5:B6"/>
    <mergeCell ref="C5:C6"/>
    <mergeCell ref="B30:D30"/>
    <mergeCell ref="D5:D6"/>
    <mergeCell ref="E5:E6"/>
    <mergeCell ref="F5:F6"/>
    <mergeCell ref="E7:F7"/>
    <mergeCell ref="E16:F16"/>
    <mergeCell ref="E21:F21"/>
    <mergeCell ref="G5:G6"/>
    <mergeCell ref="H5:H6"/>
    <mergeCell ref="G7:H7"/>
    <mergeCell ref="G16:H16"/>
    <mergeCell ref="G21:H21"/>
    <mergeCell ref="I5:I6"/>
    <mergeCell ref="J5:J6"/>
    <mergeCell ref="I7:J7"/>
    <mergeCell ref="I16:J16"/>
    <mergeCell ref="I21:J21"/>
    <mergeCell ref="E4:F4"/>
    <mergeCell ref="G4:H4"/>
    <mergeCell ref="I4:J4"/>
    <mergeCell ref="B1:J1"/>
    <mergeCell ref="B2:J2"/>
    <mergeCell ref="B3:J3"/>
    <mergeCell ref="C4:D4"/>
  </mergeCells>
  <printOptions horizontalCentered="1" verticalCentered="1"/>
  <pageMargins left="0.6299212598425197" right="0.6299212598425197" top="0.984251968503937" bottom="1.3779527559055118" header="0" footer="1.062992125984252"/>
  <pageSetup horizontalDpi="600" verticalDpi="600" orientation="portrait" scale="75" r:id="rId1"/>
  <headerFooter alignWithMargins="0">
    <oddHeader>&amp;C&amp;F</oddHeader>
    <oddFooter>&amp;L&amp;8HOJA:  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29"/>
  <sheetViews>
    <sheetView zoomScale="80" zoomScaleNormal="80" workbookViewId="0" topLeftCell="A1">
      <selection activeCell="E14" sqref="E14"/>
    </sheetView>
  </sheetViews>
  <sheetFormatPr defaultColWidth="11.421875" defaultRowHeight="12.75"/>
  <cols>
    <col min="1" max="1" width="25.7109375" style="367" customWidth="1"/>
    <col min="2" max="2" width="11.421875" style="367" customWidth="1"/>
    <col min="3" max="3" width="15.140625" style="392" customWidth="1"/>
    <col min="4" max="4" width="22.00390625" style="392" customWidth="1"/>
    <col min="5" max="5" width="26.140625" style="392" customWidth="1"/>
    <col min="6" max="6" width="27.28125" style="392" customWidth="1"/>
    <col min="7" max="8" width="21.421875" style="367" customWidth="1"/>
    <col min="9" max="16384" width="11.421875" style="367" customWidth="1"/>
  </cols>
  <sheetData>
    <row r="1" ht="15" thickBot="1"/>
    <row r="2" spans="4:5" ht="33" customHeight="1" thickBot="1">
      <c r="D2" s="604" t="s">
        <v>234</v>
      </c>
      <c r="E2" s="605" t="s">
        <v>235</v>
      </c>
    </row>
    <row r="3" spans="1:6" ht="15">
      <c r="A3" s="587" t="s">
        <v>58</v>
      </c>
      <c r="B3" s="588"/>
      <c r="C3" s="597" t="s">
        <v>2</v>
      </c>
      <c r="D3" s="597"/>
      <c r="E3" s="589" t="s">
        <v>11</v>
      </c>
      <c r="F3" s="599" t="s">
        <v>59</v>
      </c>
    </row>
    <row r="4" spans="1:6" ht="12.75">
      <c r="A4" s="590" t="s">
        <v>47</v>
      </c>
      <c r="B4" s="591"/>
      <c r="C4" s="601">
        <v>140</v>
      </c>
      <c r="D4" s="598">
        <v>7586800</v>
      </c>
      <c r="E4" s="393">
        <v>7460677</v>
      </c>
      <c r="F4" s="600">
        <f>+E4/C4</f>
        <v>53290.55</v>
      </c>
    </row>
    <row r="5" spans="1:6" ht="12.75">
      <c r="A5" s="590" t="s">
        <v>57</v>
      </c>
      <c r="B5" s="591"/>
      <c r="C5" s="601">
        <v>100</v>
      </c>
      <c r="D5" s="598"/>
      <c r="E5" s="393">
        <v>5001443</v>
      </c>
      <c r="F5" s="600">
        <f>+E5/C5</f>
        <v>50014.43</v>
      </c>
    </row>
    <row r="6" spans="1:6" ht="15" thickBot="1">
      <c r="A6" s="590" t="s">
        <v>53</v>
      </c>
      <c r="B6" s="591"/>
      <c r="C6" s="601">
        <v>24</v>
      </c>
      <c r="D6" s="598"/>
      <c r="E6" s="592">
        <v>1768618</v>
      </c>
      <c r="F6" s="600">
        <f>+E6/C6</f>
        <v>73692.41666666667</v>
      </c>
    </row>
    <row r="7" spans="1:6" ht="15.75" thickBot="1">
      <c r="A7" s="593"/>
      <c r="B7" s="594"/>
      <c r="C7" s="602"/>
      <c r="D7" s="596">
        <f>SUM(D4:D6)</f>
        <v>7586800</v>
      </c>
      <c r="E7" s="607">
        <f>SUM(E4:E6)</f>
        <v>14230738</v>
      </c>
      <c r="F7" s="596">
        <f>SUM(F4:F6)</f>
        <v>176997.39666666667</v>
      </c>
    </row>
    <row r="8" spans="4:6" ht="15" thickBot="1">
      <c r="D8" s="394"/>
      <c r="E8" s="394"/>
      <c r="F8" s="394"/>
    </row>
    <row r="9" spans="1:8" ht="15">
      <c r="A9" s="587" t="s">
        <v>60</v>
      </c>
      <c r="B9" s="588"/>
      <c r="C9" s="597" t="s">
        <v>61</v>
      </c>
      <c r="D9" s="599"/>
      <c r="E9" s="595"/>
      <c r="F9" s="599" t="s">
        <v>62</v>
      </c>
      <c r="G9" s="367" t="s">
        <v>63</v>
      </c>
      <c r="H9" s="367" t="s">
        <v>72</v>
      </c>
    </row>
    <row r="10" spans="1:7" ht="15" thickBot="1">
      <c r="A10" s="590" t="s">
        <v>56</v>
      </c>
      <c r="B10" s="591"/>
      <c r="C10" s="601">
        <v>2</v>
      </c>
      <c r="D10" s="600">
        <v>8474454</v>
      </c>
      <c r="E10" s="393">
        <v>3473011</v>
      </c>
      <c r="F10" s="600">
        <f>+E10/C10</f>
        <v>1736505.5</v>
      </c>
      <c r="G10" s="367" t="s">
        <v>64</v>
      </c>
    </row>
    <row r="11" spans="1:6" ht="15.75" thickBot="1">
      <c r="A11" s="593"/>
      <c r="B11" s="594"/>
      <c r="C11" s="596">
        <f>SUM(C10)</f>
        <v>2</v>
      </c>
      <c r="D11" s="596">
        <f>SUM(D10)</f>
        <v>8474454</v>
      </c>
      <c r="E11" s="607">
        <f>SUM(E10)</f>
        <v>3473011</v>
      </c>
      <c r="F11" s="596">
        <f>SUM(F10)</f>
        <v>1736505.5</v>
      </c>
    </row>
    <row r="12" spans="4:6" ht="15" thickBot="1">
      <c r="D12" s="394"/>
      <c r="E12" s="394"/>
      <c r="F12" s="394"/>
    </row>
    <row r="13" spans="1:8" ht="15">
      <c r="A13" s="587" t="s">
        <v>65</v>
      </c>
      <c r="B13" s="588"/>
      <c r="C13" s="597" t="s">
        <v>61</v>
      </c>
      <c r="D13" s="599"/>
      <c r="E13" s="595"/>
      <c r="F13" s="599" t="s">
        <v>62</v>
      </c>
      <c r="G13" s="367" t="s">
        <v>63</v>
      </c>
      <c r="H13" s="367" t="s">
        <v>72</v>
      </c>
    </row>
    <row r="14" spans="1:9" ht="12.75">
      <c r="A14" s="590" t="s">
        <v>48</v>
      </c>
      <c r="B14" s="591"/>
      <c r="C14" s="601">
        <v>4</v>
      </c>
      <c r="D14" s="600">
        <v>4805082</v>
      </c>
      <c r="E14" s="393">
        <f>4805082+126123</f>
        <v>4931205</v>
      </c>
      <c r="F14" s="600">
        <f>+E14/C14</f>
        <v>1232801.25</v>
      </c>
      <c r="G14" s="367" t="s">
        <v>66</v>
      </c>
      <c r="I14" s="896"/>
    </row>
    <row r="15" spans="1:7" ht="12.75">
      <c r="A15" s="590" t="s">
        <v>50</v>
      </c>
      <c r="B15" s="591"/>
      <c r="C15" s="601">
        <v>1</v>
      </c>
      <c r="D15" s="600">
        <v>909419</v>
      </c>
      <c r="E15" s="592">
        <f>+D15</f>
        <v>909419</v>
      </c>
      <c r="F15" s="600">
        <f>+E15/C15</f>
        <v>909419</v>
      </c>
      <c r="G15" s="367" t="s">
        <v>67</v>
      </c>
    </row>
    <row r="16" spans="1:7" ht="12.75">
      <c r="A16" s="590" t="s">
        <v>233</v>
      </c>
      <c r="B16" s="591"/>
      <c r="C16" s="601">
        <v>1</v>
      </c>
      <c r="D16" s="600">
        <v>525955</v>
      </c>
      <c r="E16" s="592">
        <f>+D16</f>
        <v>525955</v>
      </c>
      <c r="F16" s="600">
        <f>+E16/C16</f>
        <v>525955</v>
      </c>
      <c r="G16" s="367" t="s">
        <v>67</v>
      </c>
    </row>
    <row r="17" spans="1:7" ht="15" thickBot="1">
      <c r="A17" s="590" t="s">
        <v>52</v>
      </c>
      <c r="B17" s="591"/>
      <c r="C17" s="601">
        <v>1</v>
      </c>
      <c r="D17" s="600">
        <v>2010344</v>
      </c>
      <c r="E17" s="592">
        <v>241726</v>
      </c>
      <c r="F17" s="600">
        <f>+E17/C17</f>
        <v>241726</v>
      </c>
      <c r="G17" s="367" t="s">
        <v>68</v>
      </c>
    </row>
    <row r="18" spans="1:6" ht="15.75" thickBot="1">
      <c r="A18" s="593"/>
      <c r="B18" s="594"/>
      <c r="C18" s="596">
        <f>SUM(C14:C17)</f>
        <v>7</v>
      </c>
      <c r="D18" s="596">
        <f>SUM(D14:D17)</f>
        <v>8250800</v>
      </c>
      <c r="E18" s="606">
        <f>SUM(E14:E17)</f>
        <v>6608305</v>
      </c>
      <c r="F18" s="596">
        <f>SUM(F14:F17)</f>
        <v>2909901.25</v>
      </c>
    </row>
    <row r="19" spans="4:6" ht="15" thickBot="1">
      <c r="D19" s="394"/>
      <c r="E19" s="394"/>
      <c r="F19" s="394"/>
    </row>
    <row r="20" spans="1:8" ht="15">
      <c r="A20" s="587" t="s">
        <v>69</v>
      </c>
      <c r="B20" s="588"/>
      <c r="C20" s="597" t="s">
        <v>61</v>
      </c>
      <c r="D20" s="599"/>
      <c r="E20" s="595"/>
      <c r="F20" s="599" t="s">
        <v>62</v>
      </c>
      <c r="G20" s="367" t="s">
        <v>63</v>
      </c>
      <c r="H20" s="367" t="s">
        <v>72</v>
      </c>
    </row>
    <row r="21" spans="1:8" ht="12.75">
      <c r="A21" s="590" t="s">
        <v>49</v>
      </c>
      <c r="B21" s="591"/>
      <c r="C21" s="601">
        <v>2</v>
      </c>
      <c r="D21" s="600">
        <v>831605</v>
      </c>
      <c r="E21" s="592">
        <f>+D21</f>
        <v>831605</v>
      </c>
      <c r="F21" s="600">
        <f>+E21/C21</f>
        <v>415802.5</v>
      </c>
      <c r="G21" s="367" t="s">
        <v>165</v>
      </c>
      <c r="H21" s="367" t="s">
        <v>74</v>
      </c>
    </row>
    <row r="22" spans="1:7" ht="12.75">
      <c r="A22" s="590" t="s">
        <v>164</v>
      </c>
      <c r="B22" s="591"/>
      <c r="C22" s="601">
        <v>2</v>
      </c>
      <c r="D22" s="600">
        <v>1707602</v>
      </c>
      <c r="E22" s="592">
        <f>+D22</f>
        <v>1707602</v>
      </c>
      <c r="F22" s="600">
        <f>+E22/C22</f>
        <v>853801</v>
      </c>
      <c r="G22" s="367" t="s">
        <v>165</v>
      </c>
    </row>
    <row r="23" spans="1:7" ht="12.75">
      <c r="A23" s="590" t="s">
        <v>51</v>
      </c>
      <c r="B23" s="591"/>
      <c r="C23" s="601">
        <v>3</v>
      </c>
      <c r="D23" s="600">
        <v>1633860</v>
      </c>
      <c r="E23" s="592">
        <f>+D23</f>
        <v>1633860</v>
      </c>
      <c r="F23" s="600">
        <f>+E23/C23</f>
        <v>544620</v>
      </c>
      <c r="G23" s="367" t="s">
        <v>70</v>
      </c>
    </row>
    <row r="24" spans="1:7" ht="12.75">
      <c r="A24" s="590" t="s">
        <v>54</v>
      </c>
      <c r="B24" s="591"/>
      <c r="C24" s="601">
        <v>5</v>
      </c>
      <c r="D24" s="600">
        <v>2540442</v>
      </c>
      <c r="E24" s="592">
        <f>+D24</f>
        <v>2540442</v>
      </c>
      <c r="F24" s="600">
        <f>+E24/C24</f>
        <v>508088.4</v>
      </c>
      <c r="G24" s="367" t="s">
        <v>66</v>
      </c>
    </row>
    <row r="25" spans="1:7" ht="15" thickBot="1">
      <c r="A25" s="590" t="s">
        <v>55</v>
      </c>
      <c r="B25" s="591"/>
      <c r="C25" s="601">
        <v>6</v>
      </c>
      <c r="D25" s="600">
        <v>3592785</v>
      </c>
      <c r="E25" s="592">
        <f>+D25</f>
        <v>3592785</v>
      </c>
      <c r="F25" s="600">
        <f>+E25/C25</f>
        <v>598797.5</v>
      </c>
      <c r="G25" s="367" t="s">
        <v>71</v>
      </c>
    </row>
    <row r="26" spans="1:6" ht="15.75" thickBot="1">
      <c r="A26" s="593"/>
      <c r="B26" s="594"/>
      <c r="C26" s="596">
        <f>SUM(C21:C25)</f>
        <v>18</v>
      </c>
      <c r="D26" s="596">
        <f>SUM(D21:D25)</f>
        <v>10306294</v>
      </c>
      <c r="E26" s="607">
        <f>SUM(E21:E25)</f>
        <v>10306294</v>
      </c>
      <c r="F26" s="596">
        <f>SUM(F21:F25)</f>
        <v>2921109.4</v>
      </c>
    </row>
    <row r="27" ht="15" thickBot="1"/>
    <row r="28" spans="3:6" ht="15.75" thickBot="1">
      <c r="C28" s="603">
        <f>+C7+C11+C18+C26</f>
        <v>27</v>
      </c>
      <c r="D28" s="603">
        <f>+D7+D11+D18+D26</f>
        <v>34618348</v>
      </c>
      <c r="E28" s="603">
        <f>+E7+E11+E18+E26</f>
        <v>34618348</v>
      </c>
      <c r="F28" s="603">
        <f>+F7+F11+F18+F26</f>
        <v>7744513.546666667</v>
      </c>
    </row>
    <row r="29" ht="12.75">
      <c r="D29" s="429" t="s">
        <v>11</v>
      </c>
    </row>
  </sheetData>
  <sheetProtection password="CC53" sheet="1" objects="1" scenarios="1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="80" zoomScaleNormal="80" workbookViewId="0" topLeftCell="A1">
      <selection activeCell="F16" sqref="F16"/>
    </sheetView>
  </sheetViews>
  <sheetFormatPr defaultColWidth="11.421875" defaultRowHeight="12.75"/>
  <cols>
    <col min="1" max="1" width="43.00390625" style="133" customWidth="1"/>
    <col min="2" max="2" width="15.140625" style="133" customWidth="1"/>
    <col min="3" max="3" width="19.28125" style="133" customWidth="1"/>
    <col min="4" max="4" width="13.140625" style="133" customWidth="1"/>
    <col min="5" max="5" width="14.00390625" style="133" customWidth="1"/>
    <col min="6" max="6" width="15.00390625" style="133" customWidth="1"/>
    <col min="7" max="7" width="14.8515625" style="133" customWidth="1"/>
    <col min="8" max="8" width="14.7109375" style="133" customWidth="1"/>
    <col min="9" max="9" width="16.00390625" style="133" customWidth="1"/>
    <col min="10" max="10" width="3.421875" style="133" customWidth="1"/>
    <col min="11" max="11" width="2.7109375" style="133" customWidth="1"/>
    <col min="12" max="12" width="61.28125" style="133" customWidth="1"/>
    <col min="13" max="13" width="16.8515625" style="133" customWidth="1"/>
    <col min="14" max="14" width="4.8515625" style="133" customWidth="1"/>
    <col min="15" max="16384" width="11.421875" style="133" customWidth="1"/>
  </cols>
  <sheetData>
    <row r="1" spans="1:9" ht="18">
      <c r="A1" s="969" t="s">
        <v>13</v>
      </c>
      <c r="B1" s="969"/>
      <c r="C1" s="969"/>
      <c r="D1" s="969"/>
      <c r="E1" s="969"/>
      <c r="F1" s="969"/>
      <c r="G1" s="969"/>
      <c r="H1" s="969"/>
      <c r="I1" s="969"/>
    </row>
    <row r="2" spans="1:9" ht="18">
      <c r="A2" s="969" t="s">
        <v>23</v>
      </c>
      <c r="B2" s="969"/>
      <c r="C2" s="969"/>
      <c r="D2" s="969"/>
      <c r="E2" s="969"/>
      <c r="F2" s="969"/>
      <c r="G2" s="969"/>
      <c r="H2" s="969"/>
      <c r="I2" s="969"/>
    </row>
    <row r="3" spans="1:9" ht="18">
      <c r="A3" s="969" t="s">
        <v>129</v>
      </c>
      <c r="B3" s="969"/>
      <c r="C3" s="969"/>
      <c r="D3" s="969"/>
      <c r="E3" s="969"/>
      <c r="F3" s="969"/>
      <c r="G3" s="969"/>
      <c r="H3" s="969"/>
      <c r="I3" s="969"/>
    </row>
    <row r="4" spans="1:9" ht="18">
      <c r="A4" s="969" t="s">
        <v>130</v>
      </c>
      <c r="B4" s="969"/>
      <c r="C4" s="969"/>
      <c r="D4" s="969"/>
      <c r="E4" s="969"/>
      <c r="F4" s="969"/>
      <c r="G4" s="969"/>
      <c r="H4" s="969"/>
      <c r="I4" s="969"/>
    </row>
    <row r="5" spans="1:9" ht="18.75" thickBot="1">
      <c r="A5" s="909"/>
      <c r="B5" s="909"/>
      <c r="C5" s="909"/>
      <c r="D5" s="909"/>
      <c r="E5" s="909"/>
      <c r="F5" s="909"/>
      <c r="G5" s="909"/>
      <c r="H5" s="909"/>
      <c r="I5" s="909"/>
    </row>
    <row r="6" spans="1:9" ht="18.75" thickBot="1">
      <c r="A6" s="933" t="s">
        <v>294</v>
      </c>
      <c r="B6" s="934">
        <v>0.6196857165490125</v>
      </c>
      <c r="C6" s="909"/>
      <c r="D6" s="909"/>
      <c r="E6" s="909"/>
      <c r="F6" s="909"/>
      <c r="G6" s="909"/>
      <c r="H6" s="909"/>
      <c r="I6" s="909"/>
    </row>
    <row r="7" spans="1:4" ht="15.75">
      <c r="A7" s="178"/>
      <c r="B7" s="178"/>
      <c r="C7" s="31"/>
      <c r="D7" s="31"/>
    </row>
    <row r="8" spans="1:7" ht="26.45" customHeight="1">
      <c r="A8" s="991" t="s">
        <v>24</v>
      </c>
      <c r="B8" s="991" t="s">
        <v>17</v>
      </c>
      <c r="C8" s="1004" t="s">
        <v>12</v>
      </c>
      <c r="D8" s="990" t="s">
        <v>122</v>
      </c>
      <c r="E8" s="990"/>
      <c r="F8" s="990"/>
      <c r="G8" s="990"/>
    </row>
    <row r="9" spans="1:7" ht="12.75">
      <c r="A9" s="991"/>
      <c r="B9" s="991"/>
      <c r="C9" s="1005"/>
      <c r="D9" s="253" t="s">
        <v>123</v>
      </c>
      <c r="E9" s="253" t="s">
        <v>124</v>
      </c>
      <c r="F9" s="253" t="s">
        <v>125</v>
      </c>
      <c r="G9" s="253" t="s">
        <v>126</v>
      </c>
    </row>
    <row r="10" spans="1:7" ht="15.75">
      <c r="A10" s="179"/>
      <c r="B10" s="272"/>
      <c r="C10" s="105"/>
      <c r="D10" s="253" t="s">
        <v>143</v>
      </c>
      <c r="E10" s="253" t="s">
        <v>245</v>
      </c>
      <c r="F10" s="253" t="s">
        <v>246</v>
      </c>
      <c r="G10" s="253" t="s">
        <v>247</v>
      </c>
    </row>
    <row r="11" spans="1:7" ht="12.75">
      <c r="A11" s="273" t="str">
        <f>+'[6]VNR2004'!A7</f>
        <v xml:space="preserve"> Salidas de Conexión</v>
      </c>
      <c r="B11" s="273"/>
      <c r="C11" s="274"/>
      <c r="D11" s="274"/>
      <c r="E11" s="274"/>
      <c r="F11" s="274"/>
      <c r="G11" s="274"/>
    </row>
    <row r="12" spans="1:7" ht="12.75">
      <c r="A12" s="275" t="str">
        <f>+'[7]CX cxj  '!A12</f>
        <v>CXS34.5 Barra Sencilla</v>
      </c>
      <c r="B12" s="95" t="str">
        <f>+'[7]CX cxj  '!B12</f>
        <v>Miles B/./Salida</v>
      </c>
      <c r="C12" s="195">
        <f>SUM(D12:G12)</f>
        <v>855.36</v>
      </c>
      <c r="D12" s="195">
        <f>'CX cxj Año1 '!O12</f>
        <v>213.84</v>
      </c>
      <c r="E12" s="195">
        <f>'CX cxj Año2'!O12</f>
        <v>213.84</v>
      </c>
      <c r="F12" s="195">
        <f>'CX cxj Año3'!O12</f>
        <v>213.84</v>
      </c>
      <c r="G12" s="195">
        <f>'CX cxj Año4'!O12</f>
        <v>213.84</v>
      </c>
    </row>
    <row r="13" spans="1:7" ht="12.75">
      <c r="A13" s="275" t="str">
        <f>+'[7]CX cxj  '!A13</f>
        <v>CXS34.5 Interruptor y Medio</v>
      </c>
      <c r="B13" s="95" t="str">
        <f>+'[7]CX cxj  '!B13</f>
        <v>Miles B/./Salida</v>
      </c>
      <c r="C13" s="195">
        <f>SUM(D13:G13)</f>
        <v>2616.3199999999997</v>
      </c>
      <c r="D13" s="195">
        <f>'CX cxj Año1 '!O13</f>
        <v>654.0799999999999</v>
      </c>
      <c r="E13" s="195">
        <f>'CX cxj Año2'!O13</f>
        <v>654.0799999999999</v>
      </c>
      <c r="F13" s="195">
        <f>'CX cxj Año3'!O13</f>
        <v>654.0799999999999</v>
      </c>
      <c r="G13" s="195">
        <f>'CX cxj Año4'!O13</f>
        <v>654.0799999999999</v>
      </c>
    </row>
    <row r="14" spans="1:7" ht="12.75">
      <c r="A14" s="275" t="str">
        <f>+'[7]CX cxj  '!A14</f>
        <v>CXS115 Barra Sencilla</v>
      </c>
      <c r="B14" s="95" t="str">
        <f>+'[7]CX cxj  '!B14</f>
        <v>Miles B/./Salida</v>
      </c>
      <c r="C14" s="195">
        <f aca="true" t="shared" si="0" ref="C14:C26">SUM(D14:G14)</f>
        <v>564.96</v>
      </c>
      <c r="D14" s="195">
        <f>'CX cxj Año1 '!O14</f>
        <v>141.24</v>
      </c>
      <c r="E14" s="195">
        <f>'CX cxj Año2'!O14</f>
        <v>141.24</v>
      </c>
      <c r="F14" s="195">
        <f>'CX cxj Año3'!O14</f>
        <v>141.24</v>
      </c>
      <c r="G14" s="195">
        <f>'CX cxj Año4'!O14</f>
        <v>141.24</v>
      </c>
    </row>
    <row r="15" spans="1:7" ht="12.75">
      <c r="A15" s="275" t="str">
        <f>+'[7]CX cxj  '!A15</f>
        <v>CXS115 Interruptor y Medio</v>
      </c>
      <c r="B15" s="95" t="str">
        <f>+'[7]CX cxj  '!B15</f>
        <v>Miles B/./Salida</v>
      </c>
      <c r="C15" s="195">
        <f t="shared" si="0"/>
        <v>1661.12</v>
      </c>
      <c r="D15" s="195">
        <f>'CX cxj Año1 '!O15</f>
        <v>415.28</v>
      </c>
      <c r="E15" s="195">
        <f>'CX cxj Año2'!O15</f>
        <v>415.28</v>
      </c>
      <c r="F15" s="195">
        <f>'CX cxj Año3'!O15</f>
        <v>415.28</v>
      </c>
      <c r="G15" s="195">
        <f>'CX cxj Año4'!O15</f>
        <v>415.28</v>
      </c>
    </row>
    <row r="16" spans="1:7" ht="12.75">
      <c r="A16" s="275" t="str">
        <f>+'[7]CX cxj  '!A16</f>
        <v>CXS115 Interruptor y 1/2 con 1IP</v>
      </c>
      <c r="B16" s="95" t="str">
        <f>+'[7]CX cxj  '!B16</f>
        <v>Miles B/./Salida</v>
      </c>
      <c r="C16" s="195">
        <f t="shared" si="0"/>
        <v>0</v>
      </c>
      <c r="D16" s="195">
        <f>'CX cxj Año1 '!O16</f>
        <v>0</v>
      </c>
      <c r="E16" s="195">
        <f>'CX cxj Año2'!O16</f>
        <v>0</v>
      </c>
      <c r="F16" s="195">
        <f>'CX cxj Año3'!O16</f>
        <v>0</v>
      </c>
      <c r="G16" s="195">
        <f>'CX cxj Año4'!O16</f>
        <v>0</v>
      </c>
    </row>
    <row r="17" spans="1:7" ht="12.75">
      <c r="A17" s="275" t="str">
        <f>+'[7]CX cxj  '!A17</f>
        <v>CXS230 Barras Sencillas</v>
      </c>
      <c r="B17" s="95" t="str">
        <f>+'[7]CX cxj  '!B17</f>
        <v>Miles B/./Salida</v>
      </c>
      <c r="C17" s="195">
        <f t="shared" si="0"/>
        <v>0</v>
      </c>
      <c r="D17" s="195">
        <f>'CX cxj Año1 '!O17</f>
        <v>0</v>
      </c>
      <c r="E17" s="195">
        <f>'CX cxj Año2'!O17</f>
        <v>0</v>
      </c>
      <c r="F17" s="195">
        <f>'CX cxj Año3'!O17</f>
        <v>0</v>
      </c>
      <c r="G17" s="195">
        <f>'CX cxj Año4'!O17</f>
        <v>0</v>
      </c>
    </row>
    <row r="18" spans="1:7" ht="12.75">
      <c r="A18" s="275" t="str">
        <f>+'[7]CX cxj  '!A18</f>
        <v>CXS230 Interruptor y Medio</v>
      </c>
      <c r="B18" s="95" t="str">
        <f>+'[7]CX cxj  '!B18</f>
        <v>Miles B/./Salida</v>
      </c>
      <c r="C18" s="195">
        <f t="shared" si="0"/>
        <v>1169.92</v>
      </c>
      <c r="D18" s="195">
        <f>'CX cxj Año1 '!O18</f>
        <v>292.48</v>
      </c>
      <c r="E18" s="195">
        <f>'CX cxj Año2'!O18</f>
        <v>292.48</v>
      </c>
      <c r="F18" s="195">
        <f>'CX cxj Año3'!O18</f>
        <v>292.48</v>
      </c>
      <c r="G18" s="195">
        <f>'CX cxj Año4'!O18</f>
        <v>292.48</v>
      </c>
    </row>
    <row r="19" spans="1:9" ht="12.75">
      <c r="A19" s="486" t="s">
        <v>271</v>
      </c>
      <c r="B19" s="480" t="s">
        <v>272</v>
      </c>
      <c r="C19" s="195">
        <f t="shared" si="0"/>
        <v>2420.37</v>
      </c>
      <c r="D19" s="195">
        <f>'CX cxj Año1 '!O19</f>
        <v>201.69</v>
      </c>
      <c r="E19" s="195">
        <f>'CX cxj Año2'!O19</f>
        <v>605.0999999999999</v>
      </c>
      <c r="F19" s="195">
        <f>'CX cxj Año3'!O19</f>
        <v>806.79</v>
      </c>
      <c r="G19" s="195">
        <f>'CX cxj Año4'!O19</f>
        <v>806.79</v>
      </c>
      <c r="I19" s="135"/>
    </row>
    <row r="20" spans="1:7" ht="12.75">
      <c r="A20" s="273" t="str">
        <f>+'[7]CX cxj  '!A19</f>
        <v>Transformadores</v>
      </c>
      <c r="B20" s="95"/>
      <c r="C20" s="195"/>
      <c r="D20" s="195">
        <f>'CX cxj Año1 '!O20</f>
        <v>0</v>
      </c>
      <c r="E20" s="195">
        <f>'CX cxj Año2'!O20</f>
        <v>0</v>
      </c>
      <c r="F20" s="195">
        <f>'CX cxj Año3'!O20</f>
        <v>0</v>
      </c>
      <c r="G20" s="195">
        <f>'CX cxj Año4'!O20</f>
        <v>0</v>
      </c>
    </row>
    <row r="21" spans="1:7" ht="12.75">
      <c r="A21" s="275" t="str">
        <f>+'[7]CX cxj  '!A21</f>
        <v>CXTR Reductor 60/80/100 MVA</v>
      </c>
      <c r="B21" s="95" t="str">
        <f>+'[7]CX cxj  '!B21</f>
        <v>Miles B/./MVA</v>
      </c>
      <c r="C21" s="195">
        <f t="shared" si="0"/>
        <v>2662</v>
      </c>
      <c r="D21" s="195">
        <f>'CX cxj Año1 '!O21</f>
        <v>556</v>
      </c>
      <c r="E21" s="195">
        <f>'CX cxj Año2'!O21</f>
        <v>702</v>
      </c>
      <c r="F21" s="195">
        <f>'CX cxj Año3'!O21</f>
        <v>702</v>
      </c>
      <c r="G21" s="195">
        <f>'CX cxj Año4'!O21</f>
        <v>702</v>
      </c>
    </row>
    <row r="22" spans="1:7" ht="12.75">
      <c r="A22" s="275" t="str">
        <f>+'[7]CX cxj  '!A22</f>
        <v>CXTR Reductor 42/56/70 MVA</v>
      </c>
      <c r="B22" s="95" t="str">
        <f>+'[7]CX cxj  '!B22</f>
        <v>Miles B/./MVA</v>
      </c>
      <c r="C22" s="195">
        <f t="shared" si="0"/>
        <v>2514.4</v>
      </c>
      <c r="D22" s="195">
        <f>'CX cxj Año1 '!O22</f>
        <v>628.6</v>
      </c>
      <c r="E22" s="195">
        <f>'CX cxj Año2'!O22</f>
        <v>628.6</v>
      </c>
      <c r="F22" s="195">
        <f>'CX cxj Año3'!O22</f>
        <v>628.6</v>
      </c>
      <c r="G22" s="195">
        <f>'CX cxj Año4'!O22</f>
        <v>628.6</v>
      </c>
    </row>
    <row r="23" spans="1:7" ht="12.75">
      <c r="A23" s="275" t="str">
        <f>+'[7]CX cxj  '!A23</f>
        <v>CXTR Reductor 30/40/50 MVA</v>
      </c>
      <c r="B23" s="95" t="str">
        <f>+'[7]CX cxj  '!B23</f>
        <v>Miles B/./MVA</v>
      </c>
      <c r="C23" s="195">
        <f t="shared" si="0"/>
        <v>1684</v>
      </c>
      <c r="D23" s="195">
        <f>'CX cxj Año1 '!O23</f>
        <v>421</v>
      </c>
      <c r="E23" s="195">
        <f>'CX cxj Año2'!O23</f>
        <v>421</v>
      </c>
      <c r="F23" s="195">
        <f>'CX cxj Año3'!O23</f>
        <v>421</v>
      </c>
      <c r="G23" s="195">
        <f>'CX cxj Año4'!O23</f>
        <v>421</v>
      </c>
    </row>
    <row r="24" spans="1:7" ht="12.75">
      <c r="A24" s="275" t="str">
        <f>+'[7]CX cxj  '!A24</f>
        <v>CXTR Reductor 20/24 MVA</v>
      </c>
      <c r="B24" s="95" t="str">
        <f>+'[7]CX cxj  '!B24</f>
        <v>Miles B/./MVA</v>
      </c>
      <c r="C24" s="195">
        <f t="shared" si="0"/>
        <v>596.16</v>
      </c>
      <c r="D24" s="195">
        <f>'CX cxj Año1 '!O24</f>
        <v>149.04</v>
      </c>
      <c r="E24" s="195">
        <f>'CX cxj Año2'!O24</f>
        <v>149.04</v>
      </c>
      <c r="F24" s="195">
        <f>'CX cxj Año3'!O24</f>
        <v>149.04</v>
      </c>
      <c r="G24" s="195">
        <f>'CX cxj Año4'!O24</f>
        <v>149.04</v>
      </c>
    </row>
    <row r="25" spans="1:7" ht="12.75">
      <c r="A25" s="273" t="str">
        <f>+'[7]CX cxj  '!A25</f>
        <v>Líneas</v>
      </c>
      <c r="B25" s="95"/>
      <c r="C25" s="195"/>
      <c r="D25" s="195">
        <f>'CX cxj Año1 '!O25</f>
        <v>0</v>
      </c>
      <c r="E25" s="195">
        <f>'CX cxj Año2'!O25</f>
        <v>0</v>
      </c>
      <c r="F25" s="195">
        <f>'CX cxj Año3'!O25</f>
        <v>0</v>
      </c>
      <c r="G25" s="195">
        <f>'CX cxj Año4'!O25</f>
        <v>0</v>
      </c>
    </row>
    <row r="26" spans="1:7" ht="12.75">
      <c r="A26" s="275" t="str">
        <f>+'[7]CX cxj  '!A26</f>
        <v>CXL 115 KV Circuito Sencillo</v>
      </c>
      <c r="B26" s="95" t="str">
        <f>+'[7]CX cxj  '!B26</f>
        <v>Miles B/./km</v>
      </c>
      <c r="C26" s="195">
        <f t="shared" si="0"/>
        <v>1643.836</v>
      </c>
      <c r="D26" s="195">
        <f>'CX cxj Año1 '!O26</f>
        <v>410.959</v>
      </c>
      <c r="E26" s="195">
        <f>'CX cxj Año2'!O26</f>
        <v>410.959</v>
      </c>
      <c r="F26" s="195">
        <f>'CX cxj Año3'!O26</f>
        <v>410.959</v>
      </c>
      <c r="G26" s="195">
        <f>'CX cxj Año4'!O26</f>
        <v>410.959</v>
      </c>
    </row>
    <row r="27" spans="1:7" ht="12.75">
      <c r="A27" s="275" t="str">
        <f>+'[7]CX cxj  '!A27</f>
        <v>CXL 115 KV Doble Circuito</v>
      </c>
      <c r="B27" s="95" t="str">
        <f>+'[7]CX cxj  '!B27</f>
        <v>Miles B/./km</v>
      </c>
      <c r="C27" s="195"/>
      <c r="D27" s="195"/>
      <c r="E27" s="195"/>
      <c r="F27" s="195"/>
      <c r="G27" s="195"/>
    </row>
    <row r="28" spans="1:7" ht="12.75">
      <c r="A28" s="275" t="str">
        <f>+'[7]CX cxj  '!A28</f>
        <v>CXL 230 KV Circuito Sencillo 750 ACAR</v>
      </c>
      <c r="B28" s="95" t="str">
        <f>+'[7]CX cxj  '!B28</f>
        <v>Miles B/./km</v>
      </c>
      <c r="C28" s="195"/>
      <c r="D28" s="195"/>
      <c r="E28" s="195"/>
      <c r="F28" s="195"/>
      <c r="G28" s="195"/>
    </row>
    <row r="29" spans="1:7" ht="12.75">
      <c r="A29" s="277" t="str">
        <f>+'[7]CX cxj  '!A29</f>
        <v>CXL 230 KV Doble Circuito 1200 ACAR</v>
      </c>
      <c r="B29" s="256" t="str">
        <f>+'[7]CX cxj  '!B29</f>
        <v>Miles B/./km</v>
      </c>
      <c r="C29" s="270"/>
      <c r="D29" s="270"/>
      <c r="E29" s="270"/>
      <c r="F29" s="270"/>
      <c r="G29" s="270"/>
    </row>
    <row r="30" spans="1:7" ht="12.75">
      <c r="A30" s="234"/>
      <c r="B30" s="956"/>
      <c r="C30" s="957"/>
      <c r="D30" s="957"/>
      <c r="E30" s="957"/>
      <c r="F30" s="957"/>
      <c r="G30" s="957"/>
    </row>
    <row r="31" spans="1:7" ht="12.75">
      <c r="A31" s="959" t="s">
        <v>319</v>
      </c>
      <c r="B31" s="960" t="s">
        <v>320</v>
      </c>
      <c r="C31" s="961"/>
      <c r="D31" s="961">
        <f>+'CX cxj Año1 '!O33</f>
        <v>12.88</v>
      </c>
      <c r="E31" s="961">
        <f>+'CX cxj Año2'!O33</f>
        <v>435.81</v>
      </c>
      <c r="F31" s="961">
        <f>+'CX cxj Año3'!O33</f>
        <v>851.88</v>
      </c>
      <c r="G31" s="961">
        <f>+'CX cxj Año4'!O33</f>
        <v>868.72</v>
      </c>
    </row>
    <row r="32" spans="1:7" ht="13.5" thickBot="1">
      <c r="A32" s="234"/>
      <c r="B32" s="956"/>
      <c r="C32" s="957"/>
      <c r="D32" s="957"/>
      <c r="E32" s="957"/>
      <c r="F32" s="957"/>
      <c r="G32" s="958"/>
    </row>
    <row r="33" spans="1:7" ht="16.5" thickBot="1">
      <c r="A33" s="919" t="s">
        <v>128</v>
      </c>
      <c r="B33" s="920"/>
      <c r="C33" s="921">
        <f>SUM(C12:C29)</f>
        <v>18388.446</v>
      </c>
      <c r="D33" s="921">
        <f>SUM(D12:D31)</f>
        <v>4097.089</v>
      </c>
      <c r="E33" s="921">
        <f aca="true" t="shared" si="1" ref="E33:G33">SUM(E12:E31)</f>
        <v>5069.429</v>
      </c>
      <c r="F33" s="921">
        <f t="shared" si="1"/>
        <v>5687.188999999999</v>
      </c>
      <c r="G33" s="922">
        <f t="shared" si="1"/>
        <v>5704.0289999999995</v>
      </c>
    </row>
    <row r="34" spans="1:7" ht="16.5" thickBot="1">
      <c r="A34" s="918"/>
      <c r="B34" s="916"/>
      <c r="C34" s="917"/>
      <c r="D34" s="917"/>
      <c r="E34" s="917"/>
      <c r="F34" s="917"/>
      <c r="G34" s="917"/>
    </row>
    <row r="35" spans="1:9" ht="15.75">
      <c r="A35" s="1072" t="s">
        <v>273</v>
      </c>
      <c r="B35" s="1073"/>
      <c r="C35" s="1073"/>
      <c r="D35" s="1074"/>
      <c r="E35" s="923">
        <f>SUM(F35:I35)</f>
        <v>14954.979146773772</v>
      </c>
      <c r="F35" s="923">
        <v>2454.217203781688</v>
      </c>
      <c r="G35" s="923">
        <v>3030.8756996596976</v>
      </c>
      <c r="H35" s="923">
        <v>4304.790877309037</v>
      </c>
      <c r="I35" s="924">
        <v>5165.09536602335</v>
      </c>
    </row>
    <row r="36" spans="1:9" ht="14.25">
      <c r="A36" s="1075" t="s">
        <v>215</v>
      </c>
      <c r="B36" s="1076"/>
      <c r="C36" s="1076"/>
      <c r="D36" s="1077"/>
      <c r="E36" s="271"/>
      <c r="F36" s="483">
        <f>+IMP!E76</f>
        <v>0.9622323791195574</v>
      </c>
      <c r="G36" s="483">
        <f>+IMP!F76</f>
        <v>0.8921950664066364</v>
      </c>
      <c r="H36" s="483">
        <f>+IMP!G76</f>
        <v>0.8272555089537658</v>
      </c>
      <c r="I36" s="925">
        <f>+IMP!H76</f>
        <v>0.7670426601333016</v>
      </c>
    </row>
    <row r="37" spans="1:9" ht="15.75">
      <c r="A37" s="1069" t="s">
        <v>214</v>
      </c>
      <c r="B37" s="1070"/>
      <c r="C37" s="1070"/>
      <c r="D37" s="1071"/>
      <c r="E37" s="278">
        <f>SUM(F37:I37)</f>
        <v>17545.26324758205</v>
      </c>
      <c r="F37" s="278">
        <f>+D33*F36</f>
        <v>3942.3516959345684</v>
      </c>
      <c r="G37" s="278">
        <f>+E33*G36</f>
        <v>4522.919543298728</v>
      </c>
      <c r="H37" s="278">
        <f>+F33*H36</f>
        <v>4704.7584307112575</v>
      </c>
      <c r="I37" s="926">
        <f>+G33*I36</f>
        <v>4375.233577637496</v>
      </c>
    </row>
    <row r="38" spans="1:9" ht="15.75">
      <c r="A38" s="1069" t="s">
        <v>273</v>
      </c>
      <c r="B38" s="1070"/>
      <c r="C38" s="1070"/>
      <c r="D38" s="1071"/>
      <c r="E38" s="278">
        <f>SUM(F38:I38)</f>
        <v>17542.54706299073</v>
      </c>
      <c r="F38" s="278">
        <f>+IMP!E84</f>
        <v>3449.4608439455383</v>
      </c>
      <c r="G38" s="278">
        <f>+IMP!F84</f>
        <v>4484.0457828563785</v>
      </c>
      <c r="H38" s="278">
        <f>+IMP!G84</f>
        <v>4968.919450104108</v>
      </c>
      <c r="I38" s="926">
        <f>+IMP!H84</f>
        <v>4640.120986084706</v>
      </c>
    </row>
    <row r="39" spans="1:9" ht="12.75">
      <c r="A39" s="927"/>
      <c r="B39" s="185"/>
      <c r="C39" s="181"/>
      <c r="D39" s="206"/>
      <c r="E39" s="195"/>
      <c r="F39" s="195"/>
      <c r="G39" s="195"/>
      <c r="H39" s="195"/>
      <c r="I39" s="928"/>
    </row>
    <row r="40" spans="1:9" ht="15.75">
      <c r="A40" s="1078" t="s">
        <v>309</v>
      </c>
      <c r="B40" s="1079"/>
      <c r="C40" s="1079"/>
      <c r="D40" s="1080"/>
      <c r="E40" s="323">
        <f>+E37-E38</f>
        <v>2.7161845913215075</v>
      </c>
      <c r="F40" s="276"/>
      <c r="G40" s="276"/>
      <c r="H40" s="276"/>
      <c r="I40" s="929"/>
    </row>
    <row r="41" spans="1:9" ht="15.75">
      <c r="A41" s="1078" t="s">
        <v>182</v>
      </c>
      <c r="B41" s="1079"/>
      <c r="C41" s="1079"/>
      <c r="D41" s="1080"/>
      <c r="E41" s="488">
        <f>+E40/E38</f>
        <v>0.0001548341059920429</v>
      </c>
      <c r="F41" s="269"/>
      <c r="G41" s="254"/>
      <c r="H41" s="254"/>
      <c r="I41" s="930"/>
    </row>
    <row r="42" spans="1:9" ht="15" thickBot="1">
      <c r="A42" s="1066"/>
      <c r="B42" s="1067"/>
      <c r="C42" s="1067"/>
      <c r="D42" s="1068"/>
      <c r="E42" s="931"/>
      <c r="F42" s="931"/>
      <c r="G42" s="931"/>
      <c r="H42" s="931"/>
      <c r="I42" s="932"/>
    </row>
    <row r="44" ht="12.75">
      <c r="A44" s="97"/>
    </row>
    <row r="45" spans="12:13" ht="15.75">
      <c r="L45" s="1049" t="s">
        <v>158</v>
      </c>
      <c r="M45" s="1049"/>
    </row>
    <row r="46" spans="5:13" ht="16.5" thickBot="1">
      <c r="E46" s="142" t="s">
        <v>11</v>
      </c>
      <c r="L46" s="1049" t="s">
        <v>129</v>
      </c>
      <c r="M46" s="1049"/>
    </row>
    <row r="47" spans="12:13" ht="12.75" customHeight="1" thickBot="1">
      <c r="L47" s="615" t="s">
        <v>32</v>
      </c>
      <c r="M47" s="615" t="s">
        <v>304</v>
      </c>
    </row>
    <row r="48" spans="3:13" ht="12.75" customHeight="1">
      <c r="C48" s="31"/>
      <c r="D48" s="136"/>
      <c r="E48" s="130"/>
      <c r="F48" s="308"/>
      <c r="G48" s="308"/>
      <c r="H48" s="308"/>
      <c r="I48" s="308"/>
      <c r="L48" s="884" t="s">
        <v>305</v>
      </c>
      <c r="M48" s="887">
        <f>+E38</f>
        <v>17542.54706299073</v>
      </c>
    </row>
    <row r="49" spans="3:13" ht="15">
      <c r="C49" s="31"/>
      <c r="D49" s="31"/>
      <c r="E49" s="130"/>
      <c r="F49" s="210"/>
      <c r="G49" s="210"/>
      <c r="L49" s="885" t="s">
        <v>306</v>
      </c>
      <c r="M49" s="888">
        <f>+E37</f>
        <v>17545.26324758205</v>
      </c>
    </row>
    <row r="50" spans="3:13" ht="13.5" thickBot="1">
      <c r="C50" s="31"/>
      <c r="D50" s="31"/>
      <c r="E50" s="130"/>
      <c r="F50" s="210"/>
      <c r="G50" s="210"/>
      <c r="L50" s="886" t="s">
        <v>307</v>
      </c>
      <c r="M50" s="889">
        <f>+M49-M48</f>
        <v>2.7161845913215075</v>
      </c>
    </row>
    <row r="51" spans="3:13" ht="16.5" thickBot="1">
      <c r="C51" s="31"/>
      <c r="D51" s="136"/>
      <c r="E51" s="130"/>
      <c r="F51" s="130"/>
      <c r="G51" s="31"/>
      <c r="L51" s="615" t="s">
        <v>308</v>
      </c>
      <c r="M51" s="890">
        <f>+M50/M48</f>
        <v>0.0001548341059920429</v>
      </c>
    </row>
    <row r="52" spans="3:7" ht="12.75">
      <c r="C52" s="31"/>
      <c r="D52" s="31"/>
      <c r="E52" s="130"/>
      <c r="F52" s="210"/>
      <c r="G52" s="210"/>
    </row>
    <row r="53" spans="3:7" ht="12.75">
      <c r="C53" s="31"/>
      <c r="D53" s="31"/>
      <c r="E53" s="130"/>
      <c r="F53" s="210"/>
      <c r="G53" s="210"/>
    </row>
    <row r="54" spans="3:7" ht="12.75">
      <c r="C54" s="31"/>
      <c r="D54" s="31"/>
      <c r="E54" s="31"/>
      <c r="F54" s="31"/>
      <c r="G54" s="31"/>
    </row>
  </sheetData>
  <sheetProtection password="CC53" sheet="1" objects="1" scenarios="1"/>
  <mergeCells count="17">
    <mergeCell ref="A8:A9"/>
    <mergeCell ref="B8:B9"/>
    <mergeCell ref="A38:D38"/>
    <mergeCell ref="A40:D40"/>
    <mergeCell ref="A1:I1"/>
    <mergeCell ref="A2:I2"/>
    <mergeCell ref="A3:I3"/>
    <mergeCell ref="A4:I4"/>
    <mergeCell ref="D8:G8"/>
    <mergeCell ref="C8:C9"/>
    <mergeCell ref="L46:M46"/>
    <mergeCell ref="A42:D42"/>
    <mergeCell ref="A37:D37"/>
    <mergeCell ref="A35:D35"/>
    <mergeCell ref="A36:D36"/>
    <mergeCell ref="L45:M45"/>
    <mergeCell ref="A41:D41"/>
  </mergeCells>
  <printOptions horizontalCentered="1" verticalCentered="1"/>
  <pageMargins left="0.6299212598425197" right="0.6299212598425197" top="1" bottom="1.3779527559055118" header="0" footer="1.062992125984252"/>
  <pageSetup horizontalDpi="300" verticalDpi="300" orientation="landscape" scale="80" r:id="rId1"/>
  <headerFooter alignWithMargins="0">
    <oddHeader>&amp;C&amp;F</oddHeader>
    <oddFooter>&amp;L&amp;8HOJA:  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K91"/>
  <sheetViews>
    <sheetView showGridLines="0" zoomScale="80" zoomScaleNormal="80" workbookViewId="0" topLeftCell="A1">
      <selection activeCell="J21" sqref="J21:K22"/>
    </sheetView>
  </sheetViews>
  <sheetFormatPr defaultColWidth="11.421875" defaultRowHeight="12.75"/>
  <cols>
    <col min="2" max="2" width="32.00390625" style="0" customWidth="1"/>
  </cols>
  <sheetData>
    <row r="2" spans="2:9" ht="12.75">
      <c r="B2" s="1081" t="s">
        <v>78</v>
      </c>
      <c r="C2" s="1081"/>
      <c r="D2" s="1081"/>
      <c r="E2" s="1081"/>
      <c r="F2" s="1081"/>
      <c r="G2" s="1081"/>
      <c r="H2" s="1081"/>
      <c r="I2" s="1081"/>
    </row>
    <row r="3" ht="12.75">
      <c r="B3" s="108"/>
    </row>
    <row r="4" spans="2:9" ht="12.75">
      <c r="B4" s="1081" t="s">
        <v>133</v>
      </c>
      <c r="C4" s="1081"/>
      <c r="D4" s="1081"/>
      <c r="E4" s="1081"/>
      <c r="F4" s="1081"/>
      <c r="G4" s="1081"/>
      <c r="H4" s="1081"/>
      <c r="I4" s="1081"/>
    </row>
    <row r="5" spans="2:9" ht="12.75">
      <c r="B5" s="1081" t="s">
        <v>134</v>
      </c>
      <c r="C5" s="1081"/>
      <c r="D5" s="1081"/>
      <c r="E5" s="1081"/>
      <c r="F5" s="1081"/>
      <c r="G5" s="1081"/>
      <c r="H5" s="1081"/>
      <c r="I5" s="1081"/>
    </row>
    <row r="6" ht="13.5" thickBot="1">
      <c r="B6" s="38"/>
    </row>
    <row r="7" spans="2:9" ht="12.75">
      <c r="B7" s="617" t="s">
        <v>80</v>
      </c>
      <c r="C7" s="618" t="s">
        <v>17</v>
      </c>
      <c r="D7" s="618">
        <v>2012</v>
      </c>
      <c r="E7" s="619">
        <v>2013</v>
      </c>
      <c r="F7" s="618">
        <v>2014</v>
      </c>
      <c r="G7" s="618">
        <v>2015</v>
      </c>
      <c r="H7" s="618">
        <v>2016</v>
      </c>
      <c r="I7" s="620">
        <v>2017</v>
      </c>
    </row>
    <row r="8" spans="2:9" ht="12.75">
      <c r="B8" s="621" t="s">
        <v>18</v>
      </c>
      <c r="C8" s="622" t="s">
        <v>19</v>
      </c>
      <c r="D8" s="623"/>
      <c r="E8" s="623">
        <v>0.0214</v>
      </c>
      <c r="F8" s="624">
        <v>0.0214</v>
      </c>
      <c r="G8" s="623">
        <v>0.0214</v>
      </c>
      <c r="H8" s="623">
        <v>0.0214</v>
      </c>
      <c r="I8" s="625">
        <v>0.0214</v>
      </c>
    </row>
    <row r="9" spans="2:9" ht="12.75">
      <c r="B9" s="621" t="s">
        <v>20</v>
      </c>
      <c r="C9" s="622" t="s">
        <v>19</v>
      </c>
      <c r="D9" s="623"/>
      <c r="E9" s="623">
        <v>0.006</v>
      </c>
      <c r="F9" s="624">
        <v>0.006</v>
      </c>
      <c r="G9" s="623">
        <v>0.006</v>
      </c>
      <c r="H9" s="623">
        <v>0.006</v>
      </c>
      <c r="I9" s="625">
        <v>0.006</v>
      </c>
    </row>
    <row r="10" spans="2:9" ht="12.75">
      <c r="B10" s="621" t="s">
        <v>21</v>
      </c>
      <c r="C10" s="622" t="s">
        <v>19</v>
      </c>
      <c r="D10" s="626">
        <v>0.0785</v>
      </c>
      <c r="E10" s="623"/>
      <c r="F10" s="624"/>
      <c r="G10" s="623"/>
      <c r="H10" s="623"/>
      <c r="I10" s="625"/>
    </row>
    <row r="11" spans="2:9" ht="12.75">
      <c r="B11" s="48" t="s">
        <v>81</v>
      </c>
      <c r="C11" s="445"/>
      <c r="D11" s="445"/>
      <c r="E11" s="227"/>
      <c r="F11" s="227"/>
      <c r="G11" s="227"/>
      <c r="H11" s="446"/>
      <c r="I11" s="447"/>
    </row>
    <row r="12" spans="2:9" ht="12.75">
      <c r="B12" s="4" t="s">
        <v>248</v>
      </c>
      <c r="C12" s="39" t="s">
        <v>83</v>
      </c>
      <c r="D12" s="201">
        <v>364992.40393933386</v>
      </c>
      <c r="E12" s="201">
        <v>371898.35220933385</v>
      </c>
      <c r="F12" s="201">
        <v>425055.19356942485</v>
      </c>
      <c r="G12" s="201">
        <v>500683.88535273896</v>
      </c>
      <c r="H12" s="201">
        <v>542493.6114082426</v>
      </c>
      <c r="I12" s="202">
        <v>667701.2313249976</v>
      </c>
    </row>
    <row r="13" spans="2:9" ht="12.75">
      <c r="B13" s="4" t="s">
        <v>82</v>
      </c>
      <c r="C13" s="39" t="s">
        <v>83</v>
      </c>
      <c r="D13" s="201">
        <v>21486.15398122545</v>
      </c>
      <c r="E13" s="201">
        <v>29812.15398122545</v>
      </c>
      <c r="F13" s="201">
        <v>40685.50434618895</v>
      </c>
      <c r="G13" s="201">
        <v>49556.89120750282</v>
      </c>
      <c r="H13" s="201">
        <v>49837.18317830574</v>
      </c>
      <c r="I13" s="202">
        <v>49837.18317830574</v>
      </c>
    </row>
    <row r="14" spans="2:9" ht="12.75">
      <c r="B14" s="4" t="s">
        <v>249</v>
      </c>
      <c r="C14" s="39" t="s">
        <v>83</v>
      </c>
      <c r="D14" s="201">
        <v>2000.9</v>
      </c>
      <c r="E14" s="201">
        <v>2000.9</v>
      </c>
      <c r="F14" s="201">
        <v>2000.9</v>
      </c>
      <c r="G14" s="201">
        <v>2000.9</v>
      </c>
      <c r="H14" s="201">
        <v>0</v>
      </c>
      <c r="I14" s="202">
        <v>0</v>
      </c>
    </row>
    <row r="15" spans="2:9" ht="12.75">
      <c r="B15" s="4" t="s">
        <v>250</v>
      </c>
      <c r="C15" s="39" t="s">
        <v>83</v>
      </c>
      <c r="D15" s="201">
        <v>208150.0790332263</v>
      </c>
      <c r="E15" s="201">
        <v>203804.44569557876</v>
      </c>
      <c r="F15" s="201">
        <v>245502.5269999222</v>
      </c>
      <c r="G15" s="201">
        <v>308077.7534866861</v>
      </c>
      <c r="H15" s="201">
        <v>334565.1534921401</v>
      </c>
      <c r="I15" s="202">
        <v>443196.1555771803</v>
      </c>
    </row>
    <row r="16" spans="2:9" ht="12.75">
      <c r="B16" s="4" t="s">
        <v>84</v>
      </c>
      <c r="C16" s="39" t="s">
        <v>83</v>
      </c>
      <c r="D16" s="201">
        <v>8607.546346667083</v>
      </c>
      <c r="E16" s="201">
        <v>16169.476097688785</v>
      </c>
      <c r="F16" s="201">
        <v>26028.97621367399</v>
      </c>
      <c r="G16" s="201">
        <v>33560.312315060655</v>
      </c>
      <c r="H16" s="201">
        <v>32234.411920096958</v>
      </c>
      <c r="I16" s="202">
        <v>30619.81079520625</v>
      </c>
    </row>
    <row r="17" spans="2:9" ht="12.75">
      <c r="B17" s="4" t="s">
        <v>251</v>
      </c>
      <c r="C17" s="39" t="s">
        <v>83</v>
      </c>
      <c r="D17" s="201">
        <v>269.1894999999995</v>
      </c>
      <c r="E17" s="201">
        <v>199.15799999999945</v>
      </c>
      <c r="F17" s="201">
        <v>129.1264999999994</v>
      </c>
      <c r="G17" s="201">
        <v>59.094999999999345</v>
      </c>
      <c r="H17" s="201">
        <v>0</v>
      </c>
      <c r="I17" s="202">
        <v>0</v>
      </c>
    </row>
    <row r="18" spans="2:9" ht="12.75">
      <c r="B18" s="48" t="s">
        <v>252</v>
      </c>
      <c r="C18" s="445"/>
      <c r="D18" s="201"/>
      <c r="E18" s="201"/>
      <c r="F18" s="201"/>
      <c r="G18" s="201"/>
      <c r="H18" s="201"/>
      <c r="I18" s="202"/>
    </row>
    <row r="19" spans="2:9" ht="12.75">
      <c r="B19" s="448" t="s">
        <v>132</v>
      </c>
      <c r="C19" s="449" t="s">
        <v>83</v>
      </c>
      <c r="D19" s="201">
        <v>564912.051480781</v>
      </c>
      <c r="E19" s="201">
        <v>571817.999750781</v>
      </c>
      <c r="F19" s="201">
        <v>633386.841110872</v>
      </c>
      <c r="G19" s="201">
        <v>727100.5328941861</v>
      </c>
      <c r="H19" s="201">
        <v>768910.2589496898</v>
      </c>
      <c r="I19" s="202">
        <v>894117.8788664448</v>
      </c>
    </row>
    <row r="20" spans="2:9" ht="12.75">
      <c r="B20" s="448" t="s">
        <v>253</v>
      </c>
      <c r="C20" s="449" t="s">
        <v>83</v>
      </c>
      <c r="D20" s="201"/>
      <c r="E20" s="201"/>
      <c r="F20" s="201"/>
      <c r="G20" s="201"/>
      <c r="H20" s="201">
        <v>146440</v>
      </c>
      <c r="I20" s="202">
        <v>146440</v>
      </c>
    </row>
    <row r="21" spans="2:11" ht="12.75">
      <c r="B21" s="450" t="s">
        <v>86</v>
      </c>
      <c r="C21" s="451" t="s">
        <v>83</v>
      </c>
      <c r="D21" s="201">
        <v>39500.375681231126</v>
      </c>
      <c r="E21" s="201">
        <v>47826.375681231126</v>
      </c>
      <c r="F21" s="201">
        <v>58699.72604619463</v>
      </c>
      <c r="G21" s="201">
        <v>67571.11290750849</v>
      </c>
      <c r="H21" s="201">
        <v>67851.40487831141</v>
      </c>
      <c r="I21" s="202">
        <v>67851.40487831141</v>
      </c>
      <c r="J21" s="110"/>
      <c r="K21" s="200"/>
    </row>
    <row r="22" spans="2:10" ht="12.75">
      <c r="B22" s="48" t="s">
        <v>87</v>
      </c>
      <c r="C22" s="445"/>
      <c r="D22" s="201"/>
      <c r="E22" s="201"/>
      <c r="F22" s="201"/>
      <c r="G22" s="201"/>
      <c r="H22" s="201"/>
      <c r="I22" s="202"/>
      <c r="J22" s="110"/>
    </row>
    <row r="23" spans="2:9" ht="12.75">
      <c r="B23" s="4" t="s">
        <v>132</v>
      </c>
      <c r="C23" s="39" t="s">
        <v>83</v>
      </c>
      <c r="D23" s="201"/>
      <c r="E23" s="201">
        <v>1819.7068916666667</v>
      </c>
      <c r="F23" s="201">
        <v>47608.97622270921</v>
      </c>
      <c r="G23" s="201">
        <v>59595.072808410434</v>
      </c>
      <c r="H23" s="201">
        <v>37662.16866619708</v>
      </c>
      <c r="I23" s="202">
        <v>106800.02828477375</v>
      </c>
    </row>
    <row r="24" spans="2:9" ht="12.75">
      <c r="B24" s="4" t="s">
        <v>253</v>
      </c>
      <c r="C24" s="39" t="s">
        <v>83</v>
      </c>
      <c r="D24" s="201"/>
      <c r="E24" s="201"/>
      <c r="F24" s="201"/>
      <c r="G24" s="201"/>
      <c r="H24" s="201">
        <v>73220</v>
      </c>
      <c r="I24" s="202"/>
    </row>
    <row r="25" spans="2:9" ht="13.5" thickBot="1">
      <c r="B25" s="452" t="s">
        <v>86</v>
      </c>
      <c r="C25" s="83" t="s">
        <v>83</v>
      </c>
      <c r="D25" s="453"/>
      <c r="E25" s="453">
        <v>4856.833333333333</v>
      </c>
      <c r="F25" s="453">
        <v>5096.279197080292</v>
      </c>
      <c r="G25" s="453">
        <v>8750.948905109488</v>
      </c>
      <c r="H25" s="453">
        <v>23.35766423357664</v>
      </c>
      <c r="I25" s="454">
        <v>0</v>
      </c>
    </row>
    <row r="26" ht="13.5" thickBot="1"/>
    <row r="27" spans="2:9" ht="12.75">
      <c r="B27" s="80" t="s">
        <v>88</v>
      </c>
      <c r="C27" s="455"/>
      <c r="D27" s="47">
        <v>2012</v>
      </c>
      <c r="E27" s="26">
        <v>2013</v>
      </c>
      <c r="F27" s="47">
        <v>2014</v>
      </c>
      <c r="G27" s="47">
        <v>2015</v>
      </c>
      <c r="H27" s="47">
        <v>2016</v>
      </c>
      <c r="I27" s="109">
        <v>2017</v>
      </c>
    </row>
    <row r="28" spans="2:9" ht="12.75">
      <c r="B28" s="456"/>
      <c r="C28" s="457"/>
      <c r="D28" s="457"/>
      <c r="E28" s="111"/>
      <c r="F28" s="112"/>
      <c r="G28" s="112"/>
      <c r="H28" s="112"/>
      <c r="I28" s="113"/>
    </row>
    <row r="29" spans="2:9" ht="12.75">
      <c r="B29" s="458" t="s">
        <v>254</v>
      </c>
      <c r="C29" s="459"/>
      <c r="D29" s="201"/>
      <c r="E29" s="201">
        <v>43667.775582156675</v>
      </c>
      <c r="F29" s="201">
        <v>48572.12841800675</v>
      </c>
      <c r="G29" s="201">
        <v>56396.4469228927</v>
      </c>
      <c r="H29" s="201">
        <v>63822.5235618055</v>
      </c>
      <c r="I29" s="202">
        <v>75623.36207142682</v>
      </c>
    </row>
    <row r="30" spans="2:9" ht="12.75">
      <c r="B30" s="460" t="s">
        <v>90</v>
      </c>
      <c r="C30" s="201" t="s">
        <v>83</v>
      </c>
      <c r="D30" s="201"/>
      <c r="E30" s="201">
        <v>12128.05962917038</v>
      </c>
      <c r="F30" s="201">
        <v>13255.737285832689</v>
      </c>
      <c r="G30" s="201">
        <v>14829.812957872642</v>
      </c>
      <c r="H30" s="201">
        <v>16365.9218133922</v>
      </c>
      <c r="I30" s="202">
        <v>18740.20014681752</v>
      </c>
    </row>
    <row r="31" spans="2:9" ht="12.75">
      <c r="B31" s="460" t="s">
        <v>76</v>
      </c>
      <c r="C31" s="201" t="s">
        <v>83</v>
      </c>
      <c r="D31" s="201"/>
      <c r="E31" s="201">
        <v>3400.390550234686</v>
      </c>
      <c r="F31" s="201">
        <v>3716.561855840941</v>
      </c>
      <c r="G31" s="201">
        <v>4157.891483515695</v>
      </c>
      <c r="H31" s="201">
        <v>4588.576209362299</v>
      </c>
      <c r="I31" s="202">
        <v>5254.261723406781</v>
      </c>
    </row>
    <row r="32" spans="2:9" ht="12.75">
      <c r="B32" s="460" t="s">
        <v>91</v>
      </c>
      <c r="C32" s="201" t="s">
        <v>83</v>
      </c>
      <c r="D32" s="201"/>
      <c r="E32" s="201">
        <v>11251.581607647517</v>
      </c>
      <c r="F32" s="201">
        <v>11458.760055747516</v>
      </c>
      <c r="G32" s="201">
        <v>13053.465296550246</v>
      </c>
      <c r="H32" s="201">
        <v>15322.326050049669</v>
      </c>
      <c r="I32" s="202">
        <v>16576.61783171478</v>
      </c>
    </row>
    <row r="33" spans="2:9" ht="12.75">
      <c r="B33" s="460" t="s">
        <v>92</v>
      </c>
      <c r="C33" s="201" t="s">
        <v>83</v>
      </c>
      <c r="D33" s="201"/>
      <c r="E33" s="201">
        <v>16482.6281951041</v>
      </c>
      <c r="F33" s="201">
        <v>19735.953620585606</v>
      </c>
      <c r="G33" s="201">
        <v>23950.161584954112</v>
      </c>
      <c r="H33" s="201">
        <v>27140.583889001333</v>
      </c>
      <c r="I33" s="202">
        <v>34647.16676948774</v>
      </c>
    </row>
    <row r="34" spans="2:9" ht="12.75">
      <c r="B34" s="461" t="s">
        <v>255</v>
      </c>
      <c r="C34" s="201" t="s">
        <v>83</v>
      </c>
      <c r="D34" s="201"/>
      <c r="E34" s="201">
        <v>405.1156</v>
      </c>
      <c r="F34" s="201">
        <v>405.1156</v>
      </c>
      <c r="G34" s="201">
        <v>405.1156</v>
      </c>
      <c r="H34" s="201">
        <v>405.1156</v>
      </c>
      <c r="I34" s="202">
        <v>405.1156</v>
      </c>
    </row>
    <row r="35" spans="2:9" ht="12.75">
      <c r="B35" s="462"/>
      <c r="C35" s="201"/>
      <c r="D35" s="201"/>
      <c r="E35" s="201"/>
      <c r="F35" s="201"/>
      <c r="G35" s="201"/>
      <c r="H35" s="201"/>
      <c r="I35" s="202"/>
    </row>
    <row r="36" spans="2:9" ht="25.5">
      <c r="B36" s="463" t="s">
        <v>256</v>
      </c>
      <c r="C36" s="201"/>
      <c r="D36" s="201"/>
      <c r="E36" s="201">
        <v>0</v>
      </c>
      <c r="F36" s="201">
        <v>0</v>
      </c>
      <c r="G36" s="201">
        <v>0</v>
      </c>
      <c r="H36" s="201">
        <v>25838.663626595</v>
      </c>
      <c r="I36" s="202">
        <v>27844.891626595</v>
      </c>
    </row>
    <row r="37" spans="2:9" ht="12.75">
      <c r="B37" s="462" t="s">
        <v>90</v>
      </c>
      <c r="C37" s="201" t="s">
        <v>83</v>
      </c>
      <c r="D37" s="201"/>
      <c r="E37" s="201"/>
      <c r="F37" s="201"/>
      <c r="G37" s="201"/>
      <c r="H37" s="201">
        <v>1566.908</v>
      </c>
      <c r="I37" s="202">
        <v>3133.816</v>
      </c>
    </row>
    <row r="38" spans="2:9" ht="12.75">
      <c r="B38" s="462" t="s">
        <v>76</v>
      </c>
      <c r="C38" s="201" t="s">
        <v>83</v>
      </c>
      <c r="D38" s="201"/>
      <c r="E38" s="201"/>
      <c r="F38" s="201"/>
      <c r="G38" s="201"/>
      <c r="H38" s="201">
        <v>439.32</v>
      </c>
      <c r="I38" s="202">
        <v>878.64</v>
      </c>
    </row>
    <row r="39" spans="2:9" ht="12.75">
      <c r="B39" s="462" t="s">
        <v>257</v>
      </c>
      <c r="C39" s="201" t="s">
        <v>83</v>
      </c>
      <c r="D39" s="201"/>
      <c r="E39" s="201"/>
      <c r="F39" s="201"/>
      <c r="G39" s="201"/>
      <c r="H39" s="201">
        <v>23832.435626595</v>
      </c>
      <c r="I39" s="202">
        <v>23832.435626595</v>
      </c>
    </row>
    <row r="40" spans="2:9" ht="12.75">
      <c r="B40" s="462"/>
      <c r="C40" s="201"/>
      <c r="D40" s="201"/>
      <c r="E40" s="201"/>
      <c r="F40" s="201"/>
      <c r="G40" s="201"/>
      <c r="H40" s="201"/>
      <c r="I40" s="202"/>
    </row>
    <row r="41" spans="2:9" ht="12.75">
      <c r="B41" s="458" t="s">
        <v>89</v>
      </c>
      <c r="C41" s="201"/>
      <c r="D41" s="201"/>
      <c r="E41" s="201">
        <v>3036.411580857397</v>
      </c>
      <c r="F41" s="201">
        <v>4133.292783283404</v>
      </c>
      <c r="G41" s="201">
        <v>5918.423375417438</v>
      </c>
      <c r="H41" s="201">
        <v>6094.598952806949</v>
      </c>
      <c r="I41" s="202">
        <v>6004.13095428405</v>
      </c>
    </row>
    <row r="42" spans="2:9" ht="12.75">
      <c r="B42" s="460" t="s">
        <v>90</v>
      </c>
      <c r="C42" s="201" t="s">
        <v>83</v>
      </c>
      <c r="D42" s="201"/>
      <c r="E42" s="201">
        <v>949.2442729116794</v>
      </c>
      <c r="F42" s="201">
        <v>1132.5448143958643</v>
      </c>
      <c r="G42" s="201">
        <v>1443.4444439579079</v>
      </c>
      <c r="H42" s="201">
        <v>1446.5216702352802</v>
      </c>
      <c r="I42" s="202">
        <v>1452.0200643958642</v>
      </c>
    </row>
    <row r="43" spans="2:9" ht="12.75">
      <c r="B43" s="460" t="s">
        <v>76</v>
      </c>
      <c r="C43" s="201" t="s">
        <v>83</v>
      </c>
      <c r="D43" s="201"/>
      <c r="E43" s="201">
        <v>266.14325408738677</v>
      </c>
      <c r="F43" s="201">
        <v>317.5359292698685</v>
      </c>
      <c r="G43" s="201">
        <v>404.7040497078247</v>
      </c>
      <c r="H43" s="201">
        <v>405.5668234304525</v>
      </c>
      <c r="I43" s="202">
        <v>407.1084292698685</v>
      </c>
    </row>
    <row r="44" spans="2:9" ht="12.75">
      <c r="B44" s="460" t="s">
        <v>91</v>
      </c>
      <c r="C44" s="201" t="s">
        <v>83</v>
      </c>
      <c r="D44" s="201"/>
      <c r="E44" s="201">
        <v>764.070248978298</v>
      </c>
      <c r="F44" s="201">
        <v>1013.8502489782979</v>
      </c>
      <c r="G44" s="201">
        <v>1340.050759927203</v>
      </c>
      <c r="H44" s="201">
        <v>1606.192365766619</v>
      </c>
      <c r="I44" s="202">
        <v>1614.6011248907066</v>
      </c>
    </row>
    <row r="45" spans="2:9" ht="12.75">
      <c r="B45" s="460" t="s">
        <v>92</v>
      </c>
      <c r="C45" s="201" t="s">
        <v>83</v>
      </c>
      <c r="D45" s="201"/>
      <c r="E45" s="201">
        <v>1056.9538048800327</v>
      </c>
      <c r="F45" s="201">
        <v>1669.3617906393727</v>
      </c>
      <c r="G45" s="201">
        <v>2730.2241218245026</v>
      </c>
      <c r="H45" s="201">
        <v>2636.318093374597</v>
      </c>
      <c r="I45" s="202">
        <v>2530.4013357276112</v>
      </c>
    </row>
    <row r="46" spans="2:9" ht="12.75">
      <c r="B46" s="462"/>
      <c r="C46" s="201"/>
      <c r="D46" s="201"/>
      <c r="E46" s="201"/>
      <c r="F46" s="201"/>
      <c r="G46" s="201"/>
      <c r="H46" s="201"/>
      <c r="I46" s="202"/>
    </row>
    <row r="47" spans="2:9" ht="12.75">
      <c r="B47" s="464" t="s">
        <v>135</v>
      </c>
      <c r="C47" s="201"/>
      <c r="D47" s="201"/>
      <c r="E47" s="201">
        <v>8493.69779681</v>
      </c>
      <c r="F47" s="201">
        <v>11049.919943013332</v>
      </c>
      <c r="G47" s="201">
        <v>11425.501208683334</v>
      </c>
      <c r="H47" s="201">
        <v>11381.178764353333</v>
      </c>
      <c r="I47" s="202">
        <v>10462.92585312</v>
      </c>
    </row>
    <row r="48" spans="2:9" ht="12.75">
      <c r="B48" s="465" t="s">
        <v>146</v>
      </c>
      <c r="C48" s="201" t="s">
        <v>83</v>
      </c>
      <c r="D48" s="201"/>
      <c r="E48" s="201">
        <v>5155.612281059999</v>
      </c>
      <c r="F48" s="201">
        <v>6848.436302679999</v>
      </c>
      <c r="G48" s="201">
        <v>6443.3603243</v>
      </c>
      <c r="H48" s="201">
        <v>6104.61213592</v>
      </c>
      <c r="I48" s="202">
        <v>5613.784345919999</v>
      </c>
    </row>
    <row r="49" spans="2:9" ht="12.75">
      <c r="B49" s="465" t="s">
        <v>136</v>
      </c>
      <c r="C49" s="201" t="s">
        <v>83</v>
      </c>
      <c r="D49" s="201"/>
      <c r="E49" s="201">
        <v>3338.08551575</v>
      </c>
      <c r="F49" s="201">
        <v>4201.483640333333</v>
      </c>
      <c r="G49" s="201">
        <v>4982.140884383333</v>
      </c>
      <c r="H49" s="201">
        <v>5276.566628433334</v>
      </c>
      <c r="I49" s="202">
        <v>4849.141507199999</v>
      </c>
    </row>
    <row r="50" spans="2:9" ht="12.75">
      <c r="B50" s="462"/>
      <c r="C50" s="201"/>
      <c r="D50" s="201"/>
      <c r="E50" s="201"/>
      <c r="F50" s="201"/>
      <c r="G50" s="201"/>
      <c r="H50" s="201"/>
      <c r="I50" s="202"/>
    </row>
    <row r="51" spans="2:9" ht="13.5" thickBot="1">
      <c r="B51" s="466" t="s">
        <v>12</v>
      </c>
      <c r="C51" s="453" t="s">
        <v>83</v>
      </c>
      <c r="D51" s="453"/>
      <c r="E51" s="453">
        <v>55197.88495982408</v>
      </c>
      <c r="F51" s="453">
        <v>63755.341144303486</v>
      </c>
      <c r="G51" s="453">
        <v>73740.37150699347</v>
      </c>
      <c r="H51" s="453">
        <v>81298.30127896578</v>
      </c>
      <c r="I51" s="454">
        <v>92090.41887883087</v>
      </c>
    </row>
    <row r="52" spans="2:9" ht="12.75">
      <c r="B52" s="28"/>
      <c r="C52" s="28"/>
      <c r="D52" s="28"/>
      <c r="E52" s="28"/>
      <c r="F52" s="28"/>
      <c r="G52" s="28"/>
      <c r="H52" s="28"/>
      <c r="I52" s="28"/>
    </row>
    <row r="53" spans="2:9" ht="12.75">
      <c r="B53" s="28"/>
      <c r="C53" s="28"/>
      <c r="D53" s="28"/>
      <c r="E53" s="28"/>
      <c r="F53" s="28"/>
      <c r="G53" s="28"/>
      <c r="H53" s="28"/>
      <c r="I53" s="115"/>
    </row>
    <row r="54" spans="2:9" ht="12.75">
      <c r="B54" s="467" t="s">
        <v>78</v>
      </c>
      <c r="C54" s="467"/>
      <c r="D54" s="467"/>
      <c r="E54" s="467"/>
      <c r="F54" s="467"/>
      <c r="G54" s="467"/>
      <c r="H54" s="467"/>
      <c r="I54" s="467"/>
    </row>
    <row r="55" spans="2:9" ht="12.75">
      <c r="B55" s="467" t="s">
        <v>137</v>
      </c>
      <c r="C55" s="467"/>
      <c r="D55" s="467"/>
      <c r="E55" s="467"/>
      <c r="F55" s="467"/>
      <c r="G55" s="467"/>
      <c r="H55" s="467"/>
      <c r="I55" s="467"/>
    </row>
    <row r="56" spans="2:9" ht="12.75">
      <c r="B56" s="468" t="s">
        <v>258</v>
      </c>
      <c r="C56" s="468"/>
      <c r="D56" s="468"/>
      <c r="E56" s="468"/>
      <c r="F56" s="468"/>
      <c r="G56" s="468"/>
      <c r="H56" s="468"/>
      <c r="I56" s="468"/>
    </row>
    <row r="57" spans="2:9" ht="12.75">
      <c r="B57" s="41"/>
      <c r="C57" s="28"/>
      <c r="D57" s="28"/>
      <c r="E57" s="28"/>
      <c r="F57" s="28"/>
      <c r="G57" s="28"/>
      <c r="H57" s="28"/>
      <c r="I57" s="28"/>
    </row>
    <row r="58" spans="2:9" ht="13.5" thickBot="1">
      <c r="B58" s="41"/>
      <c r="C58" s="28"/>
      <c r="D58" s="28"/>
      <c r="E58" s="28"/>
      <c r="F58" s="28"/>
      <c r="G58" s="28"/>
      <c r="H58" s="28"/>
      <c r="I58" s="28"/>
    </row>
    <row r="59" spans="2:9" ht="15">
      <c r="B59" s="116" t="s">
        <v>138</v>
      </c>
      <c r="C59" s="117"/>
      <c r="D59" s="118"/>
      <c r="E59" s="119">
        <v>2013</v>
      </c>
      <c r="F59" s="120">
        <v>2014</v>
      </c>
      <c r="G59" s="119">
        <v>2015</v>
      </c>
      <c r="H59" s="120">
        <v>2016</v>
      </c>
      <c r="I59" s="469">
        <v>2017</v>
      </c>
    </row>
    <row r="60" spans="2:9" ht="14.25">
      <c r="B60" s="121" t="s">
        <v>183</v>
      </c>
      <c r="C60" s="53"/>
      <c r="D60" s="122"/>
      <c r="E60" s="123"/>
      <c r="F60" s="124"/>
      <c r="G60" s="124"/>
      <c r="H60" s="124"/>
      <c r="I60" s="470"/>
    </row>
    <row r="61" spans="2:9" ht="12.75">
      <c r="B61" s="1" t="s">
        <v>254</v>
      </c>
      <c r="C61" s="28"/>
      <c r="D61" s="55"/>
      <c r="E61" s="201">
        <v>43667.775582156675</v>
      </c>
      <c r="F61" s="201">
        <v>48572.12841800675</v>
      </c>
      <c r="G61" s="201">
        <v>56396.4469228927</v>
      </c>
      <c r="H61" s="201">
        <v>63822.5235618055</v>
      </c>
      <c r="I61" s="202">
        <v>75623.36207142682</v>
      </c>
    </row>
    <row r="62" spans="2:9" ht="12.75">
      <c r="B62" s="1" t="s">
        <v>256</v>
      </c>
      <c r="C62" s="28"/>
      <c r="D62" s="28"/>
      <c r="E62" s="201">
        <v>0</v>
      </c>
      <c r="F62" s="201">
        <v>0</v>
      </c>
      <c r="G62" s="201">
        <v>0</v>
      </c>
      <c r="H62" s="201">
        <v>25838.663626595</v>
      </c>
      <c r="I62" s="202">
        <v>27844.891626595</v>
      </c>
    </row>
    <row r="63" spans="2:9" ht="12.75">
      <c r="B63" s="1" t="s">
        <v>89</v>
      </c>
      <c r="C63" s="28"/>
      <c r="D63" s="55"/>
      <c r="E63" s="201">
        <v>3036.411580857397</v>
      </c>
      <c r="F63" s="201">
        <v>4133.292783283404</v>
      </c>
      <c r="G63" s="201">
        <v>5918.423375417438</v>
      </c>
      <c r="H63" s="201">
        <v>6094.598952806949</v>
      </c>
      <c r="I63" s="202">
        <v>6004.13095428405</v>
      </c>
    </row>
    <row r="64" spans="2:9" ht="12.75">
      <c r="B64" s="125" t="s">
        <v>135</v>
      </c>
      <c r="C64" s="28"/>
      <c r="D64" s="55"/>
      <c r="E64" s="201">
        <v>8493.69779681</v>
      </c>
      <c r="F64" s="201">
        <v>11049.919943013332</v>
      </c>
      <c r="G64" s="201">
        <v>11425.501208683334</v>
      </c>
      <c r="H64" s="201">
        <v>11381.178764353333</v>
      </c>
      <c r="I64" s="202">
        <v>10462.92585312</v>
      </c>
    </row>
    <row r="65" spans="2:9" ht="12.75">
      <c r="B65" s="114" t="s">
        <v>259</v>
      </c>
      <c r="C65" s="28"/>
      <c r="D65" s="55"/>
      <c r="E65" s="201">
        <v>5155.612281059999</v>
      </c>
      <c r="F65" s="201">
        <v>6848.436302679999</v>
      </c>
      <c r="G65" s="201">
        <v>6443.3603243</v>
      </c>
      <c r="H65" s="201">
        <v>6104.61213592</v>
      </c>
      <c r="I65" s="202">
        <v>5613.784345919999</v>
      </c>
    </row>
    <row r="66" spans="2:9" ht="12.75">
      <c r="B66" s="114" t="s">
        <v>136</v>
      </c>
      <c r="C66" s="28"/>
      <c r="D66" s="55"/>
      <c r="E66" s="201">
        <v>3338.08551575</v>
      </c>
      <c r="F66" s="201">
        <v>4201.483640333333</v>
      </c>
      <c r="G66" s="201">
        <v>4982.140884383333</v>
      </c>
      <c r="H66" s="201">
        <v>5276.566628433334</v>
      </c>
      <c r="I66" s="202">
        <v>4849.141507199999</v>
      </c>
    </row>
    <row r="67" spans="2:9" ht="12.75">
      <c r="B67" s="1"/>
      <c r="C67" s="28"/>
      <c r="D67" s="55"/>
      <c r="E67" s="56"/>
      <c r="F67" s="57"/>
      <c r="G67" s="57"/>
      <c r="H67" s="57"/>
      <c r="I67" s="471"/>
    </row>
    <row r="68" spans="2:9" ht="12.75">
      <c r="B68" s="6" t="s">
        <v>260</v>
      </c>
      <c r="C68" s="28"/>
      <c r="D68" s="55"/>
      <c r="E68" s="58" t="s">
        <v>143</v>
      </c>
      <c r="F68" s="58" t="s">
        <v>245</v>
      </c>
      <c r="G68" s="58" t="s">
        <v>246</v>
      </c>
      <c r="H68" s="58" t="s">
        <v>247</v>
      </c>
      <c r="I68" s="472" t="s">
        <v>261</v>
      </c>
    </row>
    <row r="69" spans="2:9" ht="12.75">
      <c r="B69" s="6" t="s">
        <v>254</v>
      </c>
      <c r="C69" s="28"/>
      <c r="D69" s="55"/>
      <c r="E69" s="201">
        <v>46119.952000081714</v>
      </c>
      <c r="F69" s="201">
        <v>52484.287670449725</v>
      </c>
      <c r="G69" s="201">
        <v>60109.485242349096</v>
      </c>
      <c r="H69" s="201">
        <v>69722.94281661615</v>
      </c>
      <c r="I69" s="202"/>
    </row>
    <row r="70" spans="2:9" ht="12.75">
      <c r="B70" s="1" t="s">
        <v>256</v>
      </c>
      <c r="C70" s="28"/>
      <c r="D70" s="28"/>
      <c r="E70" s="201">
        <v>0</v>
      </c>
      <c r="F70" s="201">
        <v>0</v>
      </c>
      <c r="G70" s="201"/>
      <c r="H70" s="201">
        <v>26841.777626595</v>
      </c>
      <c r="I70" s="202"/>
    </row>
    <row r="71" spans="2:9" ht="12.75">
      <c r="B71" s="6" t="s">
        <v>89</v>
      </c>
      <c r="C71" s="28"/>
      <c r="D71" s="55"/>
      <c r="E71" s="201">
        <v>3584.8521820704004</v>
      </c>
      <c r="F71" s="201">
        <v>5025.858079350421</v>
      </c>
      <c r="G71" s="201">
        <v>6006.511164112193</v>
      </c>
      <c r="H71" s="201">
        <v>6049.364953545499</v>
      </c>
      <c r="I71" s="202"/>
    </row>
    <row r="72" spans="2:9" ht="12.75">
      <c r="B72" s="126" t="s">
        <v>135</v>
      </c>
      <c r="C72" s="28"/>
      <c r="D72" s="55"/>
      <c r="E72" s="201">
        <v>9771.808869911665</v>
      </c>
      <c r="F72" s="201">
        <v>11237.710575848332</v>
      </c>
      <c r="G72" s="201">
        <v>11403.339986518335</v>
      </c>
      <c r="H72" s="201">
        <v>10922.052308736666</v>
      </c>
      <c r="I72" s="202"/>
    </row>
    <row r="73" spans="2:9" ht="12.75">
      <c r="B73" s="114" t="s">
        <v>146</v>
      </c>
      <c r="C73" s="28"/>
      <c r="D73" s="55"/>
      <c r="E73" s="201">
        <v>6002.024291869999</v>
      </c>
      <c r="F73" s="201">
        <v>6645.898313489999</v>
      </c>
      <c r="G73" s="201">
        <v>6273.98623011</v>
      </c>
      <c r="H73" s="201">
        <v>5859.198240919999</v>
      </c>
      <c r="I73" s="202"/>
    </row>
    <row r="74" spans="2:9" ht="12.75">
      <c r="B74" s="114" t="s">
        <v>136</v>
      </c>
      <c r="C74" s="28"/>
      <c r="D74" s="55"/>
      <c r="E74" s="201">
        <v>3769.7845780416665</v>
      </c>
      <c r="F74" s="201">
        <v>4591.812262358333</v>
      </c>
      <c r="G74" s="201">
        <v>5129.3537564083335</v>
      </c>
      <c r="H74" s="201">
        <v>5062.854067816666</v>
      </c>
      <c r="I74" s="202"/>
    </row>
    <row r="75" spans="2:9" ht="12.75">
      <c r="B75" s="1"/>
      <c r="C75" s="28"/>
      <c r="D75" s="55"/>
      <c r="E75" s="201"/>
      <c r="F75" s="201"/>
      <c r="G75" s="201"/>
      <c r="H75" s="201"/>
      <c r="I75" s="202"/>
    </row>
    <row r="76" spans="2:9" ht="12.75">
      <c r="B76" s="88" t="s">
        <v>93</v>
      </c>
      <c r="C76" s="28"/>
      <c r="D76" s="55"/>
      <c r="E76" s="473">
        <v>0.9622323791195574</v>
      </c>
      <c r="F76" s="473">
        <v>0.8921950664066364</v>
      </c>
      <c r="G76" s="473">
        <v>0.8272555089537658</v>
      </c>
      <c r="H76" s="473">
        <v>0.7670426601333016</v>
      </c>
      <c r="I76" s="474"/>
    </row>
    <row r="77" spans="2:9" ht="15" thickBot="1">
      <c r="B77" s="1"/>
      <c r="C77" s="28"/>
      <c r="D77" s="55"/>
      <c r="E77" s="127"/>
      <c r="F77" s="128"/>
      <c r="G77" s="128"/>
      <c r="H77" s="128"/>
      <c r="I77" s="475"/>
    </row>
    <row r="78" spans="2:9" ht="15">
      <c r="B78" s="60" t="s">
        <v>262</v>
      </c>
      <c r="C78" s="61"/>
      <c r="D78" s="62" t="s">
        <v>95</v>
      </c>
      <c r="E78" s="63"/>
      <c r="F78" s="64"/>
      <c r="G78" s="65"/>
      <c r="H78" s="66"/>
      <c r="I78" s="476"/>
    </row>
    <row r="79" spans="2:9" ht="15">
      <c r="B79" s="6" t="s">
        <v>254</v>
      </c>
      <c r="C79" s="28"/>
      <c r="D79" s="204">
        <v>194410.707998848</v>
      </c>
      <c r="E79" s="201">
        <v>44378.111137918415</v>
      </c>
      <c r="F79" s="201">
        <v>46826.2225234419</v>
      </c>
      <c r="G79" s="201">
        <v>49725.902807108374</v>
      </c>
      <c r="H79" s="201">
        <v>53480.47153037933</v>
      </c>
      <c r="I79" s="202">
        <v>0</v>
      </c>
    </row>
    <row r="80" spans="2:9" ht="12.75">
      <c r="B80" s="6" t="s">
        <v>144</v>
      </c>
      <c r="C80" s="28"/>
      <c r="D80" s="203">
        <v>161444.33406225743</v>
      </c>
      <c r="E80" s="201">
        <v>36852.8805504095</v>
      </c>
      <c r="F80" s="201">
        <v>38885.863797136895</v>
      </c>
      <c r="G80" s="201">
        <v>41293.84305511463</v>
      </c>
      <c r="H80" s="201">
        <v>44411.74665959639</v>
      </c>
      <c r="I80" s="202"/>
    </row>
    <row r="81" spans="2:9" ht="12.75">
      <c r="B81" s="6" t="s">
        <v>145</v>
      </c>
      <c r="C81" s="28"/>
      <c r="D81" s="203">
        <v>32966.37393659058</v>
      </c>
      <c r="E81" s="201">
        <v>7525.230587508908</v>
      </c>
      <c r="F81" s="201">
        <v>7940.3587263049985</v>
      </c>
      <c r="G81" s="201">
        <v>8432.05975199374</v>
      </c>
      <c r="H81" s="201">
        <v>9068.724870782933</v>
      </c>
      <c r="I81" s="202"/>
    </row>
    <row r="82" spans="2:9" ht="12.75">
      <c r="B82" s="1" t="s">
        <v>256</v>
      </c>
      <c r="C82" s="28"/>
      <c r="D82" s="28"/>
      <c r="E82" s="201"/>
      <c r="F82" s="201"/>
      <c r="G82" s="201"/>
      <c r="H82" s="201"/>
      <c r="I82" s="202"/>
    </row>
    <row r="83" spans="2:9" ht="12.75">
      <c r="B83" s="1" t="s">
        <v>263</v>
      </c>
      <c r="C83" s="28"/>
      <c r="D83" s="28">
        <v>20588.788513409967</v>
      </c>
      <c r="E83" s="201">
        <v>0</v>
      </c>
      <c r="F83" s="201">
        <v>0</v>
      </c>
      <c r="G83" s="201">
        <v>0</v>
      </c>
      <c r="H83" s="201">
        <v>20588.788513409967</v>
      </c>
      <c r="I83" s="202"/>
    </row>
    <row r="84" spans="2:9" ht="15.75">
      <c r="B84" s="6" t="s">
        <v>89</v>
      </c>
      <c r="C84" s="28"/>
      <c r="D84" s="627">
        <v>17542.54706299073</v>
      </c>
      <c r="E84" s="628">
        <v>3449.4608439455383</v>
      </c>
      <c r="F84" s="628">
        <v>4484.0457828563785</v>
      </c>
      <c r="G84" s="628">
        <v>4968.919450104108</v>
      </c>
      <c r="H84" s="628">
        <v>4640.120986084706</v>
      </c>
      <c r="I84" s="202">
        <v>0</v>
      </c>
    </row>
    <row r="85" spans="2:9" ht="15">
      <c r="B85" s="6" t="s">
        <v>135</v>
      </c>
      <c r="C85" s="28"/>
      <c r="D85" s="204">
        <v>37240.13671200275</v>
      </c>
      <c r="E85" s="201">
        <v>9402.750897196694</v>
      </c>
      <c r="F85" s="201">
        <v>10026.229933477563</v>
      </c>
      <c r="G85" s="201">
        <v>9433.475824320052</v>
      </c>
      <c r="H85" s="201">
        <v>8377.68005700844</v>
      </c>
      <c r="I85" s="202">
        <v>0</v>
      </c>
    </row>
    <row r="86" spans="2:9" ht="12.75">
      <c r="B86" s="114" t="s">
        <v>146</v>
      </c>
      <c r="C86" s="28"/>
      <c r="D86" s="203">
        <v>21389.224477957614</v>
      </c>
      <c r="E86" s="201">
        <v>5775.342113899445</v>
      </c>
      <c r="F86" s="201">
        <v>5929.437687135963</v>
      </c>
      <c r="G86" s="201">
        <v>5190.189671958567</v>
      </c>
      <c r="H86" s="201">
        <v>4494.2550049636375</v>
      </c>
      <c r="I86" s="202">
        <v>0</v>
      </c>
    </row>
    <row r="87" spans="2:9" ht="12.75">
      <c r="B87" s="114" t="s">
        <v>136</v>
      </c>
      <c r="C87" s="28"/>
      <c r="D87" s="203">
        <v>15850.912234045138</v>
      </c>
      <c r="E87" s="201">
        <v>3627.4087832972496</v>
      </c>
      <c r="F87" s="201">
        <v>4096.7922463416</v>
      </c>
      <c r="G87" s="201">
        <v>4243.2861523614865</v>
      </c>
      <c r="H87" s="201">
        <v>3883.4250520448027</v>
      </c>
      <c r="I87" s="202">
        <v>0</v>
      </c>
    </row>
    <row r="88" spans="2:9" ht="15.75" thickBot="1">
      <c r="B88" s="68" t="s">
        <v>12</v>
      </c>
      <c r="C88" s="2"/>
      <c r="D88" s="205">
        <v>269782.1802872514</v>
      </c>
      <c r="E88" s="453">
        <v>57230.32287906065</v>
      </c>
      <c r="F88" s="453">
        <v>61336.49823977584</v>
      </c>
      <c r="G88" s="453">
        <v>64128.29808153253</v>
      </c>
      <c r="H88" s="453">
        <v>87087.06108688244</v>
      </c>
      <c r="I88" s="454">
        <v>0</v>
      </c>
    </row>
    <row r="89" spans="2:9" ht="12.75">
      <c r="B89" s="41"/>
      <c r="C89" s="28"/>
      <c r="D89" s="115"/>
      <c r="E89" s="69"/>
      <c r="F89" s="28"/>
      <c r="G89" s="69"/>
      <c r="H89" s="69"/>
      <c r="I89" s="69"/>
    </row>
    <row r="90" spans="2:9" ht="12.75">
      <c r="B90" t="s">
        <v>184</v>
      </c>
      <c r="I90" s="110"/>
    </row>
    <row r="91" spans="2:9" ht="12.75">
      <c r="B91" t="s">
        <v>147</v>
      </c>
      <c r="E91" s="110"/>
      <c r="F91" s="110"/>
      <c r="G91" s="110"/>
      <c r="H91" s="110"/>
      <c r="I91" s="110"/>
    </row>
  </sheetData>
  <sheetProtection password="CC53" sheet="1" objects="1" scenarios="1"/>
  <mergeCells count="3">
    <mergeCell ref="B2:I2"/>
    <mergeCell ref="B4:I4"/>
    <mergeCell ref="B5:I5"/>
  </mergeCells>
  <printOptions/>
  <pageMargins left="0.7" right="0.7" top="0.75" bottom="0.75" header="0.3" footer="0.3"/>
  <pageSetup horizontalDpi="600" verticalDpi="600" orientation="portrait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zoomScale="80" zoomScaleNormal="80" workbookViewId="0" topLeftCell="A1">
      <selection activeCell="A2" sqref="A2:I40"/>
    </sheetView>
  </sheetViews>
  <sheetFormatPr defaultColWidth="9.140625" defaultRowHeight="12.75"/>
  <cols>
    <col min="1" max="1" width="41.57421875" style="0" customWidth="1"/>
    <col min="2" max="2" width="13.57421875" style="0" customWidth="1"/>
    <col min="3" max="3" width="11.28125" style="0" customWidth="1"/>
    <col min="4" max="4" width="11.421875" style="0" bestFit="1" customWidth="1"/>
    <col min="5" max="5" width="11.7109375" style="0" bestFit="1" customWidth="1"/>
    <col min="6" max="6" width="11.421875" style="0" bestFit="1" customWidth="1"/>
    <col min="7" max="7" width="11.7109375" style="0" bestFit="1" customWidth="1"/>
    <col min="8" max="8" width="9.7109375" style="0" bestFit="1" customWidth="1"/>
    <col min="10" max="10" width="11.28125" style="0" bestFit="1" customWidth="1"/>
  </cols>
  <sheetData>
    <row r="1" ht="12.75">
      <c r="H1" s="38"/>
    </row>
    <row r="2" spans="1:8" ht="12.75">
      <c r="A2" s="1081" t="s">
        <v>78</v>
      </c>
      <c r="B2" s="1081"/>
      <c r="C2" s="1081"/>
      <c r="D2" s="1081"/>
      <c r="E2" s="1081"/>
      <c r="F2" s="1081"/>
      <c r="G2" s="1081"/>
      <c r="H2" s="1081"/>
    </row>
    <row r="3" spans="1:8" ht="12.75">
      <c r="A3" s="1083" t="s">
        <v>108</v>
      </c>
      <c r="B3" s="1083"/>
      <c r="C3" s="1083"/>
      <c r="D3" s="1083"/>
      <c r="E3" s="1083"/>
      <c r="F3" s="1083"/>
      <c r="G3" s="1083"/>
      <c r="H3" s="1083"/>
    </row>
    <row r="4" spans="1:8" ht="12.75">
      <c r="A4" s="1083" t="s">
        <v>79</v>
      </c>
      <c r="B4" s="1083"/>
      <c r="C4" s="1083"/>
      <c r="D4" s="1083"/>
      <c r="E4" s="1083"/>
      <c r="F4" s="1083"/>
      <c r="G4" s="1083"/>
      <c r="H4" s="1083"/>
    </row>
    <row r="5" spans="1:8" ht="12.75">
      <c r="A5" s="1083" t="s">
        <v>264</v>
      </c>
      <c r="B5" s="1083"/>
      <c r="C5" s="1083"/>
      <c r="D5" s="1083"/>
      <c r="E5" s="1083"/>
      <c r="F5" s="1083"/>
      <c r="G5" s="1083"/>
      <c r="H5" s="1083"/>
    </row>
    <row r="6" spans="1:8" ht="12.75">
      <c r="A6" s="1082" t="s">
        <v>110</v>
      </c>
      <c r="B6" s="1082"/>
      <c r="C6" s="1082"/>
      <c r="D6" s="1082"/>
      <c r="E6" s="1082"/>
      <c r="F6" s="1082"/>
      <c r="G6" s="1082"/>
      <c r="H6" s="1082"/>
    </row>
    <row r="7" spans="1:8" ht="12.75">
      <c r="A7" s="35"/>
      <c r="B7" s="35"/>
      <c r="C7" s="35"/>
      <c r="D7" s="35"/>
      <c r="E7" s="35"/>
      <c r="F7" s="35"/>
      <c r="G7" s="35"/>
      <c r="H7" s="35"/>
    </row>
    <row r="8" spans="1:8" ht="12.75">
      <c r="A8" s="35"/>
      <c r="B8" s="35"/>
      <c r="C8" s="35"/>
      <c r="D8" s="35"/>
      <c r="E8" s="35"/>
      <c r="F8" s="35"/>
      <c r="G8" s="35"/>
      <c r="H8" s="35"/>
    </row>
    <row r="9" spans="1:8" ht="12.75">
      <c r="A9" s="35"/>
      <c r="B9" s="35"/>
      <c r="C9" s="35"/>
      <c r="D9" s="35"/>
      <c r="E9" s="35"/>
      <c r="F9" s="35"/>
      <c r="G9" s="35"/>
      <c r="H9" s="35"/>
    </row>
    <row r="10" ht="13.5" thickBot="1">
      <c r="A10" s="38"/>
    </row>
    <row r="11" spans="1:8" ht="18.75" customHeight="1">
      <c r="A11" s="80" t="s">
        <v>80</v>
      </c>
      <c r="B11" s="47" t="s">
        <v>17</v>
      </c>
      <c r="C11" s="26">
        <f>+'[8]IMP 2013 2017'!D7</f>
        <v>2012</v>
      </c>
      <c r="D11" s="26">
        <f>+C11+1</f>
        <v>2013</v>
      </c>
      <c r="E11" s="26">
        <f>+D11+1</f>
        <v>2014</v>
      </c>
      <c r="F11" s="26">
        <f>+E11+1</f>
        <v>2015</v>
      </c>
      <c r="G11" s="26">
        <f>+F11+1</f>
        <v>2016</v>
      </c>
      <c r="H11" s="27">
        <f>+G11+1</f>
        <v>2017</v>
      </c>
    </row>
    <row r="12" spans="1:8" ht="12.75">
      <c r="A12" s="4" t="s">
        <v>18</v>
      </c>
      <c r="B12" s="39" t="s">
        <v>19</v>
      </c>
      <c r="C12" s="439"/>
      <c r="D12" s="40">
        <f>+IMP!E8</f>
        <v>0.0214</v>
      </c>
      <c r="E12" s="40">
        <f>+IMP!F8</f>
        <v>0.0214</v>
      </c>
      <c r="F12" s="40">
        <f>+IMP!G8</f>
        <v>0.0214</v>
      </c>
      <c r="G12" s="40">
        <f>+IMP!H8</f>
        <v>0.0214</v>
      </c>
      <c r="H12" s="40">
        <f>+IMP!I8</f>
        <v>0.0214</v>
      </c>
    </row>
    <row r="13" spans="1:8" ht="12.75">
      <c r="A13" s="4" t="s">
        <v>20</v>
      </c>
      <c r="B13" s="39" t="s">
        <v>19</v>
      </c>
      <c r="C13" s="439"/>
      <c r="D13" s="40">
        <f>+IMP!E9</f>
        <v>0.006</v>
      </c>
      <c r="E13" s="40">
        <f>+IMP!F9</f>
        <v>0.006</v>
      </c>
      <c r="F13" s="40">
        <f>+IMP!G9</f>
        <v>0.006</v>
      </c>
      <c r="G13" s="40">
        <f>+IMP!H9</f>
        <v>0.006</v>
      </c>
      <c r="H13" s="40">
        <f>+IMP!I9</f>
        <v>0.006</v>
      </c>
    </row>
    <row r="14" spans="1:8" ht="12.75">
      <c r="A14" s="4" t="s">
        <v>22</v>
      </c>
      <c r="B14" s="39"/>
      <c r="C14" s="877">
        <v>0.03</v>
      </c>
      <c r="D14" s="40"/>
      <c r="E14" s="40"/>
      <c r="F14" s="40"/>
      <c r="G14" s="40"/>
      <c r="H14" s="81"/>
    </row>
    <row r="15" spans="1:8" ht="12.75">
      <c r="A15" s="4" t="s">
        <v>21</v>
      </c>
      <c r="B15" s="39" t="s">
        <v>19</v>
      </c>
      <c r="C15" s="440">
        <f>+RRTg</f>
        <v>0.0785</v>
      </c>
      <c r="D15" s="441">
        <f>+D12+D13</f>
        <v>0.0274</v>
      </c>
      <c r="E15" s="441">
        <f>+IMP!F8+IMP!F9</f>
        <v>0.0274</v>
      </c>
      <c r="F15" s="441">
        <f>+IMP!G8+IMP!G9</f>
        <v>0.0274</v>
      </c>
      <c r="G15" s="441">
        <f>+IMP!H8+IMP!H9</f>
        <v>0.0274</v>
      </c>
      <c r="H15" s="441">
        <f>+IMP!I8+IMP!I9</f>
        <v>0.0274</v>
      </c>
    </row>
    <row r="16" spans="1:8" ht="12.75">
      <c r="A16" s="6" t="s">
        <v>81</v>
      </c>
      <c r="B16" s="42"/>
      <c r="C16" s="43"/>
      <c r="D16" s="28"/>
      <c r="E16" s="28"/>
      <c r="F16" s="28"/>
      <c r="G16" s="37"/>
      <c r="H16" s="29"/>
    </row>
    <row r="17" spans="1:11" ht="12.75">
      <c r="A17" s="4" t="s">
        <v>82</v>
      </c>
      <c r="B17" s="39" t="s">
        <v>83</v>
      </c>
      <c r="C17" s="129">
        <v>21486.15398122545</v>
      </c>
      <c r="D17" s="129">
        <v>29812.15398122545</v>
      </c>
      <c r="E17" s="129">
        <v>40685.50434618895</v>
      </c>
      <c r="F17" s="129">
        <v>49556.89120750282</v>
      </c>
      <c r="G17" s="129">
        <v>49837.18317830574</v>
      </c>
      <c r="H17" s="289">
        <v>49837.18317830574</v>
      </c>
      <c r="J17" s="104"/>
      <c r="K17" s="110"/>
    </row>
    <row r="18" spans="1:11" ht="12.75">
      <c r="A18" s="4" t="s">
        <v>84</v>
      </c>
      <c r="B18" s="39" t="s">
        <v>83</v>
      </c>
      <c r="C18" s="129">
        <v>8607.546346667083</v>
      </c>
      <c r="D18" s="129">
        <v>16169.476097688785</v>
      </c>
      <c r="E18" s="129">
        <v>26028.97621367399</v>
      </c>
      <c r="F18" s="129">
        <v>33560.312315060655</v>
      </c>
      <c r="G18" s="129">
        <v>32234.411920096958</v>
      </c>
      <c r="H18" s="289">
        <v>30619.81079520625</v>
      </c>
      <c r="J18" s="104"/>
      <c r="K18" s="110"/>
    </row>
    <row r="19" spans="1:11" ht="12.75">
      <c r="A19" s="6" t="s">
        <v>85</v>
      </c>
      <c r="B19" s="42"/>
      <c r="C19" s="130"/>
      <c r="D19" s="130"/>
      <c r="E19" s="130"/>
      <c r="F19" s="130"/>
      <c r="G19" s="130"/>
      <c r="H19" s="290"/>
      <c r="J19" s="104"/>
      <c r="K19" s="110"/>
    </row>
    <row r="20" spans="1:11" ht="12.75">
      <c r="A20" s="4" t="s">
        <v>86</v>
      </c>
      <c r="B20" s="39" t="s">
        <v>83</v>
      </c>
      <c r="C20" s="129">
        <v>39500.375681231126</v>
      </c>
      <c r="D20" s="129">
        <v>47826.375681231126</v>
      </c>
      <c r="E20" s="129">
        <v>58699.72604619463</v>
      </c>
      <c r="F20" s="129">
        <v>67571.11290750849</v>
      </c>
      <c r="G20" s="129">
        <v>67851.40487831141</v>
      </c>
      <c r="H20" s="289">
        <v>67851.40487831141</v>
      </c>
      <c r="J20" s="104"/>
      <c r="K20" s="110"/>
    </row>
    <row r="21" spans="1:11" ht="12.75">
      <c r="A21" s="4" t="str">
        <f>+'[8]IMP 2013 2017'!B20</f>
        <v>ACTSPTef3L(Tercera Línea)</v>
      </c>
      <c r="B21" s="39"/>
      <c r="C21" s="129"/>
      <c r="D21" s="129"/>
      <c r="E21" s="129"/>
      <c r="F21" s="129"/>
      <c r="G21" s="129"/>
      <c r="H21" s="289"/>
      <c r="J21" s="104"/>
      <c r="K21" s="110"/>
    </row>
    <row r="22" spans="1:11" ht="12.75">
      <c r="A22" s="6" t="s">
        <v>87</v>
      </c>
      <c r="B22" s="42"/>
      <c r="C22" s="130"/>
      <c r="D22" s="31"/>
      <c r="E22" s="31"/>
      <c r="F22" s="31"/>
      <c r="G22" s="31"/>
      <c r="H22" s="131"/>
      <c r="J22" s="104"/>
      <c r="K22" s="110"/>
    </row>
    <row r="23" spans="1:8" ht="13.5" thickBot="1">
      <c r="A23" s="82" t="s">
        <v>86</v>
      </c>
      <c r="B23" s="83" t="s">
        <v>83</v>
      </c>
      <c r="C23" s="84"/>
      <c r="D23" s="85">
        <v>4856.833333333333</v>
      </c>
      <c r="E23" s="85">
        <v>5096.279197080292</v>
      </c>
      <c r="F23" s="85">
        <v>8750.948905109488</v>
      </c>
      <c r="G23" s="85">
        <v>23.35766423357664</v>
      </c>
      <c r="H23" s="291">
        <v>0</v>
      </c>
    </row>
    <row r="24" ht="13.5" thickBot="1"/>
    <row r="25" spans="1:14" ht="12.75">
      <c r="A25" s="45" t="s">
        <v>88</v>
      </c>
      <c r="B25" s="46"/>
      <c r="C25" s="47">
        <v>2012</v>
      </c>
      <c r="D25" s="26">
        <v>2013</v>
      </c>
      <c r="E25" s="26">
        <v>2014</v>
      </c>
      <c r="F25" s="26">
        <v>2015</v>
      </c>
      <c r="G25" s="26">
        <v>2016</v>
      </c>
      <c r="H25" s="27">
        <v>2017</v>
      </c>
      <c r="J25" s="196"/>
      <c r="K25" s="110"/>
      <c r="L25" s="28"/>
      <c r="M25" s="28"/>
      <c r="N25" s="28"/>
    </row>
    <row r="26" spans="1:14" ht="12.75">
      <c r="A26" s="48" t="s">
        <v>89</v>
      </c>
      <c r="B26" s="49"/>
      <c r="C26" s="49"/>
      <c r="D26" s="129">
        <v>3036.411580857397</v>
      </c>
      <c r="E26" s="129">
        <v>4133.292783283404</v>
      </c>
      <c r="F26" s="129">
        <v>5918.423375417438</v>
      </c>
      <c r="G26" s="129">
        <v>6094.598952806949</v>
      </c>
      <c r="H26" s="289">
        <v>6004.13095428405</v>
      </c>
      <c r="L26" s="28"/>
      <c r="M26" s="28"/>
      <c r="N26" s="28"/>
    </row>
    <row r="27" spans="1:14" ht="12.75">
      <c r="A27" s="1" t="s">
        <v>90</v>
      </c>
      <c r="B27" s="51"/>
      <c r="C27" s="51"/>
      <c r="D27" s="129">
        <v>949.2442729116794</v>
      </c>
      <c r="E27" s="129">
        <v>1132.5448143958643</v>
      </c>
      <c r="F27" s="129">
        <v>1443.4444439579079</v>
      </c>
      <c r="G27" s="129">
        <v>1446.5216702352802</v>
      </c>
      <c r="H27" s="289">
        <v>1452.0200643958642</v>
      </c>
      <c r="L27" s="28"/>
      <c r="M27" s="28"/>
      <c r="N27" s="28"/>
    </row>
    <row r="28" spans="1:14" ht="12.75">
      <c r="A28" s="1" t="s">
        <v>76</v>
      </c>
      <c r="B28" s="51"/>
      <c r="C28" s="51"/>
      <c r="D28" s="129">
        <v>266.14325408738677</v>
      </c>
      <c r="E28" s="129">
        <v>317.5359292698685</v>
      </c>
      <c r="F28" s="129">
        <v>404.7040497078247</v>
      </c>
      <c r="G28" s="129">
        <v>405.5668234304525</v>
      </c>
      <c r="H28" s="289">
        <v>407.1084292698685</v>
      </c>
      <c r="I28" s="38"/>
      <c r="L28" s="28"/>
      <c r="M28" s="28"/>
      <c r="N28" s="28"/>
    </row>
    <row r="29" spans="1:8" ht="12.75">
      <c r="A29" s="52" t="s">
        <v>91</v>
      </c>
      <c r="B29" s="51"/>
      <c r="C29" s="51"/>
      <c r="D29" s="129">
        <v>764.070248978298</v>
      </c>
      <c r="E29" s="129">
        <v>1013.8502489782979</v>
      </c>
      <c r="F29" s="129">
        <v>1340.050759927203</v>
      </c>
      <c r="G29" s="129">
        <v>1606.192365766619</v>
      </c>
      <c r="H29" s="289">
        <v>1614.6011248907066</v>
      </c>
    </row>
    <row r="30" spans="1:8" ht="13.5" thickBot="1">
      <c r="A30" s="3" t="s">
        <v>92</v>
      </c>
      <c r="B30" s="86"/>
      <c r="C30" s="86"/>
      <c r="D30" s="657">
        <v>1056.9538048800327</v>
      </c>
      <c r="E30" s="657">
        <v>1669.3617906393727</v>
      </c>
      <c r="F30" s="657">
        <v>2730.2241218245026</v>
      </c>
      <c r="G30" s="657">
        <v>2636.318093374597</v>
      </c>
      <c r="H30" s="658">
        <v>2530.4013357276112</v>
      </c>
    </row>
    <row r="31" spans="1:8" ht="13.5" thickBot="1">
      <c r="A31" s="41"/>
      <c r="B31" s="28"/>
      <c r="C31" s="28"/>
      <c r="D31" s="28"/>
      <c r="E31" s="28"/>
      <c r="F31" s="28"/>
      <c r="G31" s="28"/>
      <c r="H31" s="28"/>
    </row>
    <row r="32" spans="1:16" ht="12.75">
      <c r="A32" s="60" t="s">
        <v>96</v>
      </c>
      <c r="B32" s="102"/>
      <c r="C32" s="98" t="s">
        <v>12</v>
      </c>
      <c r="D32" s="132" t="s">
        <v>139</v>
      </c>
      <c r="E32" s="132" t="s">
        <v>140</v>
      </c>
      <c r="F32" s="132" t="s">
        <v>141</v>
      </c>
      <c r="G32" s="132" t="s">
        <v>142</v>
      </c>
      <c r="H32" s="99"/>
      <c r="J32" s="309"/>
      <c r="K32" s="104"/>
      <c r="L32" s="104"/>
      <c r="M32" s="104"/>
      <c r="N32" s="104"/>
      <c r="P32" s="161"/>
    </row>
    <row r="33" spans="1:8" ht="12.75">
      <c r="A33" s="6" t="s">
        <v>89</v>
      </c>
      <c r="B33" s="55"/>
      <c r="C33" s="101">
        <v>20666.586379078515</v>
      </c>
      <c r="D33" s="54">
        <v>3584.8521820704004</v>
      </c>
      <c r="E33" s="54">
        <v>5025.858079350421</v>
      </c>
      <c r="F33" s="54">
        <v>6006.511164112193</v>
      </c>
      <c r="G33" s="54">
        <v>6049.364953545499</v>
      </c>
      <c r="H33" s="103"/>
    </row>
    <row r="34" spans="1:11" ht="12.75">
      <c r="A34" s="1"/>
      <c r="B34" s="55"/>
      <c r="C34" s="55"/>
      <c r="D34" s="56"/>
      <c r="E34" s="57"/>
      <c r="F34" s="57"/>
      <c r="G34" s="57"/>
      <c r="H34" s="87"/>
      <c r="K34" s="197"/>
    </row>
    <row r="35" spans="1:8" ht="12.75">
      <c r="A35" s="88" t="s">
        <v>93</v>
      </c>
      <c r="B35" s="55"/>
      <c r="C35" s="55"/>
      <c r="D35" s="310">
        <v>0.9622323791195574</v>
      </c>
      <c r="E35" s="310">
        <v>0.8921950664066364</v>
      </c>
      <c r="F35" s="310">
        <v>0.8272555089537658</v>
      </c>
      <c r="G35" s="310">
        <v>0.7670426601333016</v>
      </c>
      <c r="H35" s="89"/>
    </row>
    <row r="36" spans="1:8" ht="15" thickBot="1">
      <c r="A36" s="3"/>
      <c r="B36" s="5"/>
      <c r="C36" s="5"/>
      <c r="D36" s="90"/>
      <c r="E36" s="91"/>
      <c r="F36" s="91"/>
      <c r="G36" s="91"/>
      <c r="H36" s="92"/>
    </row>
    <row r="37" spans="1:8" ht="15">
      <c r="A37" s="651" t="s">
        <v>94</v>
      </c>
      <c r="B37" s="652"/>
      <c r="C37" s="629" t="s">
        <v>95</v>
      </c>
      <c r="D37" s="630"/>
      <c r="E37" s="631"/>
      <c r="F37" s="632"/>
      <c r="G37" s="633"/>
      <c r="H37" s="634"/>
    </row>
    <row r="38" spans="1:8" ht="15">
      <c r="A38" s="653" t="s">
        <v>89</v>
      </c>
      <c r="B38" s="654"/>
      <c r="C38" s="635">
        <v>17542.54706299073</v>
      </c>
      <c r="D38" s="636">
        <v>3449.4608439455383</v>
      </c>
      <c r="E38" s="636">
        <v>4484.0457828563785</v>
      </c>
      <c r="F38" s="636">
        <v>4968.919450104108</v>
      </c>
      <c r="G38" s="636">
        <v>4640.120986084706</v>
      </c>
      <c r="H38" s="637"/>
    </row>
    <row r="39" spans="1:8" ht="15.75" thickBot="1">
      <c r="A39" s="655"/>
      <c r="B39" s="656"/>
      <c r="C39" s="638"/>
      <c r="D39" s="639"/>
      <c r="E39" s="639"/>
      <c r="F39" s="639"/>
      <c r="G39" s="639"/>
      <c r="H39" s="640"/>
    </row>
    <row r="40" spans="1:8" ht="12.75">
      <c r="A40" s="41"/>
      <c r="B40" s="28"/>
      <c r="C40" s="28"/>
      <c r="D40" s="69"/>
      <c r="E40" s="28"/>
      <c r="F40" s="69"/>
      <c r="G40" s="69"/>
      <c r="H40" s="69"/>
    </row>
    <row r="41" ht="12.75">
      <c r="A41" t="s">
        <v>97</v>
      </c>
    </row>
    <row r="42" ht="12.75">
      <c r="A42" t="s">
        <v>106</v>
      </c>
    </row>
    <row r="43" ht="12.75">
      <c r="A43" s="200"/>
    </row>
    <row r="50" spans="1:8" ht="12.75">
      <c r="A50" s="70"/>
      <c r="H50" s="71"/>
    </row>
  </sheetData>
  <sheetProtection password="CC53" sheet="1" objects="1" scenarios="1"/>
  <mergeCells count="5">
    <mergeCell ref="A6:H6"/>
    <mergeCell ref="A2:H2"/>
    <mergeCell ref="A4:H4"/>
    <mergeCell ref="A5:H5"/>
    <mergeCell ref="A3:H3"/>
  </mergeCells>
  <printOptions horizontalCentered="1" verticalCentered="1"/>
  <pageMargins left="0.75" right="0.75" top="0.82" bottom="0.79" header="0" footer="0.32"/>
  <pageSetup fitToHeight="1" fitToWidth="1" horizontalDpi="600" verticalDpi="600" orientation="landscape" r:id="rId2"/>
  <headerFooter alignWithMargins="0">
    <oddHeader>&amp;C&amp;F</oddHeader>
    <oddFooter>&amp;LHOJA: &amp;A&amp;R&amp;D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GridLines="0" zoomScale="80" zoomScaleNormal="80" workbookViewId="0" topLeftCell="A1">
      <selection activeCell="G26" sqref="G26"/>
    </sheetView>
  </sheetViews>
  <sheetFormatPr defaultColWidth="9.140625" defaultRowHeight="12.75"/>
  <cols>
    <col min="1" max="1" width="28.8515625" style="0" customWidth="1"/>
    <col min="2" max="2" width="13.57421875" style="0" customWidth="1"/>
    <col min="3" max="3" width="11.28125" style="0" customWidth="1"/>
    <col min="4" max="4" width="11.7109375" style="0" customWidth="1"/>
    <col min="5" max="5" width="10.7109375" style="0" customWidth="1"/>
    <col min="6" max="6" width="11.421875" style="0" customWidth="1"/>
    <col min="7" max="7" width="10.8515625" style="0" customWidth="1"/>
    <col min="8" max="8" width="14.421875" style="0" customWidth="1"/>
  </cols>
  <sheetData>
    <row r="1" ht="12.75">
      <c r="H1" s="38"/>
    </row>
    <row r="2" spans="1:8" ht="12.75">
      <c r="A2" s="1081" t="s">
        <v>78</v>
      </c>
      <c r="B2" s="1081"/>
      <c r="C2" s="1081"/>
      <c r="D2" s="1081"/>
      <c r="E2" s="1081"/>
      <c r="F2" s="1081"/>
      <c r="G2" s="1081"/>
      <c r="H2" s="1081"/>
    </row>
    <row r="3" spans="1:8" ht="12.75">
      <c r="A3" s="1083" t="s">
        <v>107</v>
      </c>
      <c r="B3" s="1083"/>
      <c r="C3" s="1083"/>
      <c r="D3" s="1083"/>
      <c r="E3" s="1083"/>
      <c r="F3" s="1083"/>
      <c r="G3" s="1083"/>
      <c r="H3" s="1083"/>
    </row>
    <row r="4" spans="1:8" ht="12.75">
      <c r="A4" s="1083" t="s">
        <v>79</v>
      </c>
      <c r="B4" s="1083"/>
      <c r="C4" s="1083"/>
      <c r="D4" s="1083"/>
      <c r="E4" s="1083"/>
      <c r="F4" s="1083"/>
      <c r="G4" s="1083"/>
      <c r="H4" s="1083"/>
    </row>
    <row r="5" spans="1:8" ht="12.75">
      <c r="A5" s="1083" t="s">
        <v>264</v>
      </c>
      <c r="B5" s="1083"/>
      <c r="C5" s="1083"/>
      <c r="D5" s="1083"/>
      <c r="E5" s="1083"/>
      <c r="F5" s="1083"/>
      <c r="G5" s="1083"/>
      <c r="H5" s="1083"/>
    </row>
    <row r="6" spans="1:8" ht="12.75">
      <c r="A6" s="1082" t="s">
        <v>109</v>
      </c>
      <c r="B6" s="1082"/>
      <c r="C6" s="1082"/>
      <c r="D6" s="1082"/>
      <c r="E6" s="1082"/>
      <c r="F6" s="1082"/>
      <c r="G6" s="1082"/>
      <c r="H6" s="1082"/>
    </row>
    <row r="7" spans="1:8" ht="12.75">
      <c r="A7" s="35"/>
      <c r="B7" s="35"/>
      <c r="C7" s="35"/>
      <c r="D7" s="35"/>
      <c r="E7" s="35"/>
      <c r="F7" s="35"/>
      <c r="G7" s="35"/>
      <c r="H7" s="35"/>
    </row>
    <row r="8" spans="1:8" ht="12.75">
      <c r="A8" s="35"/>
      <c r="B8" s="35"/>
      <c r="C8" s="35"/>
      <c r="D8" s="35"/>
      <c r="E8" s="35"/>
      <c r="F8" s="35"/>
      <c r="G8" s="35"/>
      <c r="H8" s="35"/>
    </row>
    <row r="9" spans="1:8" ht="12.75">
      <c r="A9" s="35"/>
      <c r="B9" s="35"/>
      <c r="C9" s="35"/>
      <c r="D9" s="35"/>
      <c r="E9" s="35"/>
      <c r="F9" s="35"/>
      <c r="G9" s="35"/>
      <c r="H9" s="35"/>
    </row>
    <row r="11" spans="1:8" ht="12.75">
      <c r="A11" s="436" t="s">
        <v>80</v>
      </c>
      <c r="B11" s="437" t="s">
        <v>17</v>
      </c>
      <c r="C11" s="437">
        <f>+'[8]IMP 2013 2017'!D7</f>
        <v>2012</v>
      </c>
      <c r="D11" s="437">
        <f>+'[8]IMP 2013 2017'!E7</f>
        <v>2013</v>
      </c>
      <c r="E11" s="437">
        <f>+'[8]IMP 2013 2017'!F7</f>
        <v>2014</v>
      </c>
      <c r="F11" s="437">
        <f>+'[8]IMP 2013 2017'!G7</f>
        <v>2015</v>
      </c>
      <c r="G11" s="437">
        <f>+'[8]IMP 2013 2017'!H7</f>
        <v>2016</v>
      </c>
      <c r="H11" s="437">
        <f>+'[8]IMP 2013 2017'!I7</f>
        <v>2017</v>
      </c>
    </row>
    <row r="12" spans="1:8" ht="12.75">
      <c r="A12" s="438" t="str">
        <f>+'[8]IMP 2013 2017'!B8</f>
        <v>OMT</v>
      </c>
      <c r="B12" s="39" t="s">
        <v>19</v>
      </c>
      <c r="C12" s="439"/>
      <c r="D12" s="40">
        <v>0.0214</v>
      </c>
      <c r="E12" s="40">
        <v>0.0214</v>
      </c>
      <c r="F12" s="40">
        <v>0.0214</v>
      </c>
      <c r="G12" s="40">
        <v>0.0214</v>
      </c>
      <c r="H12" s="40">
        <v>0.0214</v>
      </c>
    </row>
    <row r="13" spans="1:8" ht="12.75">
      <c r="A13" s="438" t="str">
        <f>+'[8]IMP 2013 2017'!B9</f>
        <v>ADMT</v>
      </c>
      <c r="B13" s="39" t="s">
        <v>19</v>
      </c>
      <c r="C13" s="439"/>
      <c r="D13" s="40">
        <v>0.006</v>
      </c>
      <c r="E13" s="40">
        <v>0.006</v>
      </c>
      <c r="F13" s="40">
        <v>0.006</v>
      </c>
      <c r="G13" s="40">
        <v>0.006</v>
      </c>
      <c r="H13" s="40">
        <v>0.006</v>
      </c>
    </row>
    <row r="14" spans="1:8" ht="12.75">
      <c r="A14" s="438" t="s">
        <v>22</v>
      </c>
      <c r="B14" s="39"/>
      <c r="C14" s="877">
        <v>0.03</v>
      </c>
      <c r="D14" s="40"/>
      <c r="E14" s="40"/>
      <c r="F14" s="40"/>
      <c r="G14" s="40"/>
      <c r="H14" s="40"/>
    </row>
    <row r="15" spans="1:8" ht="12.75">
      <c r="A15" s="438" t="str">
        <f>+'[8]IPCT'!A15</f>
        <v>RRT</v>
      </c>
      <c r="B15" s="39" t="s">
        <v>19</v>
      </c>
      <c r="C15" s="440">
        <v>0.0785</v>
      </c>
      <c r="D15" s="441">
        <f>+D12+D13</f>
        <v>0.0274</v>
      </c>
      <c r="E15" s="441">
        <f aca="true" t="shared" si="0" ref="E15:H15">+E12+E13</f>
        <v>0.0274</v>
      </c>
      <c r="F15" s="441">
        <f t="shared" si="0"/>
        <v>0.0274</v>
      </c>
      <c r="G15" s="441">
        <f t="shared" si="0"/>
        <v>0.0274</v>
      </c>
      <c r="H15" s="441">
        <f t="shared" si="0"/>
        <v>0.0274</v>
      </c>
    </row>
    <row r="16" spans="1:8" ht="12.75">
      <c r="A16" s="214" t="s">
        <v>81</v>
      </c>
      <c r="B16" s="42"/>
      <c r="C16" s="43"/>
      <c r="D16" s="28"/>
      <c r="E16" s="28"/>
      <c r="F16" s="28"/>
      <c r="G16" s="37"/>
      <c r="H16" s="55"/>
    </row>
    <row r="17" spans="1:8" ht="12.75">
      <c r="A17" s="438" t="s">
        <v>82</v>
      </c>
      <c r="B17" s="39" t="s">
        <v>83</v>
      </c>
      <c r="C17" s="1084" t="s">
        <v>181</v>
      </c>
      <c r="D17" s="1085"/>
      <c r="E17" s="1085"/>
      <c r="F17" s="1085"/>
      <c r="G17" s="1085"/>
      <c r="H17" s="1086"/>
    </row>
    <row r="18" spans="1:8" ht="12.75">
      <c r="A18" s="438" t="s">
        <v>84</v>
      </c>
      <c r="B18" s="39" t="s">
        <v>83</v>
      </c>
      <c r="C18" s="1087"/>
      <c r="D18" s="1088"/>
      <c r="E18" s="1088"/>
      <c r="F18" s="1088"/>
      <c r="G18" s="1088"/>
      <c r="H18" s="1089"/>
    </row>
    <row r="19" spans="1:8" ht="12.75">
      <c r="A19" s="214" t="s">
        <v>85</v>
      </c>
      <c r="B19" s="42"/>
      <c r="C19" s="42"/>
      <c r="D19" s="42"/>
      <c r="E19" s="42"/>
      <c r="F19" s="42"/>
      <c r="G19" s="42"/>
      <c r="H19" s="442"/>
    </row>
    <row r="20" spans="1:8" ht="12.75">
      <c r="A20" s="438" t="s">
        <v>86</v>
      </c>
      <c r="B20" s="39" t="s">
        <v>83</v>
      </c>
      <c r="C20" s="44">
        <f>+IPCT!C20</f>
        <v>39500.375681231126</v>
      </c>
      <c r="D20" s="44">
        <f>+IPCT!D20</f>
        <v>47826.375681231126</v>
      </c>
      <c r="E20" s="44">
        <f>+IPCT!E20</f>
        <v>58699.72604619463</v>
      </c>
      <c r="F20" s="44">
        <f>+IPCT!F20</f>
        <v>67571.11290750849</v>
      </c>
      <c r="G20" s="44">
        <f>+IPCT!G20</f>
        <v>67851.40487831141</v>
      </c>
      <c r="H20" s="44">
        <f>+IPCT!H20</f>
        <v>67851.40487831141</v>
      </c>
    </row>
    <row r="21" spans="1:8" ht="12.75">
      <c r="A21" s="214" t="s">
        <v>87</v>
      </c>
      <c r="B21" s="42"/>
      <c r="C21" s="42"/>
      <c r="D21" s="28"/>
      <c r="E21" s="28"/>
      <c r="F21" s="28"/>
      <c r="G21" s="28"/>
      <c r="H21" s="55"/>
    </row>
    <row r="22" spans="1:8" ht="13.5" thickBot="1">
      <c r="A22" s="443" t="s">
        <v>86</v>
      </c>
      <c r="B22" s="83" t="s">
        <v>83</v>
      </c>
      <c r="C22" s="84"/>
      <c r="D22" s="85">
        <f>+IPCT!D23</f>
        <v>4856.833333333333</v>
      </c>
      <c r="E22" s="85">
        <f>+IPCT!E23</f>
        <v>5096.279197080292</v>
      </c>
      <c r="F22" s="85">
        <f>+IPCT!F23</f>
        <v>8750.948905109488</v>
      </c>
      <c r="G22" s="85">
        <f>+IPCT!G23</f>
        <v>23.35766423357664</v>
      </c>
      <c r="H22" s="85">
        <f>+IPCT!H23</f>
        <v>0</v>
      </c>
    </row>
    <row r="23" spans="1:8" ht="13.5" thickBot="1">
      <c r="A23" s="215"/>
      <c r="B23" s="28"/>
      <c r="C23" s="28"/>
      <c r="D23" s="28"/>
      <c r="E23" s="28"/>
      <c r="F23" s="28"/>
      <c r="G23" s="28"/>
      <c r="H23" s="55"/>
    </row>
    <row r="24" spans="1:13" ht="12.75">
      <c r="A24" s="216" t="s">
        <v>88</v>
      </c>
      <c r="B24" s="46"/>
      <c r="C24" s="47">
        <f>+C11</f>
        <v>2012</v>
      </c>
      <c r="D24" s="26">
        <f>+C24+1</f>
        <v>2013</v>
      </c>
      <c r="E24" s="26">
        <f>+D24+1</f>
        <v>2014</v>
      </c>
      <c r="F24" s="26">
        <f>+E24+1</f>
        <v>2015</v>
      </c>
      <c r="G24" s="26">
        <f>+F24+1</f>
        <v>2016</v>
      </c>
      <c r="H24" s="26">
        <f>+G24+1</f>
        <v>2017</v>
      </c>
      <c r="K24" s="28"/>
      <c r="L24" s="28"/>
      <c r="M24" s="28"/>
    </row>
    <row r="25" spans="1:13" ht="12.75">
      <c r="A25" s="217" t="s">
        <v>89</v>
      </c>
      <c r="B25" s="49"/>
      <c r="C25" s="49"/>
      <c r="D25" s="50">
        <f>SUM(D26:D29)</f>
        <v>3603.057602316033</v>
      </c>
      <c r="E25" s="50">
        <f>SUM(E26:E29)</f>
        <v>4707.122180654448</v>
      </c>
      <c r="F25" s="50">
        <f>SUM(F26:F29)</f>
        <v>6601.892864029358</v>
      </c>
      <c r="G25" s="50">
        <f>SUM(G26:G29)</f>
        <v>6516.240704192592</v>
      </c>
      <c r="H25" s="50">
        <f>SUM(H26:H29)</f>
        <v>6425.071975742687</v>
      </c>
      <c r="K25" s="28"/>
      <c r="L25" s="28"/>
      <c r="M25" s="28"/>
    </row>
    <row r="26" spans="1:13" ht="12.75">
      <c r="A26" s="215" t="s">
        <v>90</v>
      </c>
      <c r="B26" s="51"/>
      <c r="C26" s="51"/>
      <c r="D26" s="444">
        <f>+IPCT!D27</f>
        <v>949.2442729116794</v>
      </c>
      <c r="E26" s="444">
        <f>+IPCT!E27</f>
        <v>1132.5448143958643</v>
      </c>
      <c r="F26" s="444">
        <f>+IPCT!F27</f>
        <v>1443.4444439579079</v>
      </c>
      <c r="G26" s="444">
        <f>+IPCT!G27</f>
        <v>1446.5216702352802</v>
      </c>
      <c r="H26" s="444">
        <f>+IPCT!H27</f>
        <v>1452.0200643958642</v>
      </c>
      <c r="K26" s="28"/>
      <c r="L26" s="28"/>
      <c r="M26" s="28"/>
    </row>
    <row r="27" spans="1:13" ht="12.75">
      <c r="A27" s="215" t="s">
        <v>76</v>
      </c>
      <c r="B27" s="51"/>
      <c r="C27" s="51"/>
      <c r="D27" s="444">
        <f>+IPCT!D28</f>
        <v>266.14325408738677</v>
      </c>
      <c r="E27" s="444">
        <f>+IPCT!E28</f>
        <v>317.5359292698685</v>
      </c>
      <c r="F27" s="444">
        <f>+IPCT!F28</f>
        <v>404.7040497078247</v>
      </c>
      <c r="G27" s="444">
        <f>+IPCT!G28</f>
        <v>405.5668234304525</v>
      </c>
      <c r="H27" s="444">
        <f>+IPCT!H28</f>
        <v>407.1084292698685</v>
      </c>
      <c r="K27" s="28"/>
      <c r="L27" s="28"/>
      <c r="M27" s="28"/>
    </row>
    <row r="28" spans="1:13" ht="12.75">
      <c r="A28" s="218" t="s">
        <v>91</v>
      </c>
      <c r="B28" s="51"/>
      <c r="C28" s="51"/>
      <c r="D28" s="444">
        <f>+'metodologia FA'!E130</f>
        <v>1330.7162704369339</v>
      </c>
      <c r="E28" s="444">
        <f>+'metodologia FA'!F130</f>
        <v>1587.6796463493424</v>
      </c>
      <c r="F28" s="444">
        <f>+'metodologia FA'!G130</f>
        <v>2023.5202485391233</v>
      </c>
      <c r="G28" s="444">
        <f>+'metodologia FA'!H130</f>
        <v>2027.834117152262</v>
      </c>
      <c r="H28" s="444">
        <f>+'metodologia FA'!I130</f>
        <v>2035.5421463493424</v>
      </c>
      <c r="K28" s="28"/>
      <c r="L28" s="28"/>
      <c r="M28" s="28"/>
    </row>
    <row r="29" spans="1:13" ht="12.75">
      <c r="A29" s="215" t="s">
        <v>92</v>
      </c>
      <c r="B29" s="51"/>
      <c r="C29" s="51"/>
      <c r="D29" s="444">
        <f>+IPCT!D30</f>
        <v>1056.9538048800327</v>
      </c>
      <c r="E29" s="444">
        <f>+IPCT!E30</f>
        <v>1669.3617906393727</v>
      </c>
      <c r="F29" s="444">
        <f>+IPCT!F30</f>
        <v>2730.2241218245026</v>
      </c>
      <c r="G29" s="444">
        <f>+IPCT!G30</f>
        <v>2636.318093374597</v>
      </c>
      <c r="H29" s="444">
        <f>+IPCT!H30</f>
        <v>2530.4013357276112</v>
      </c>
      <c r="K29" s="28"/>
      <c r="L29" s="28"/>
      <c r="M29" s="28"/>
    </row>
    <row r="30" spans="1:13" ht="12.75">
      <c r="A30" s="217"/>
      <c r="B30" s="227"/>
      <c r="C30" s="227"/>
      <c r="D30" s="227"/>
      <c r="E30" s="227"/>
      <c r="F30" s="227"/>
      <c r="G30" s="227"/>
      <c r="H30" s="228"/>
      <c r="K30" s="28"/>
      <c r="L30" s="28"/>
      <c r="M30" s="28"/>
    </row>
    <row r="31" spans="1:8" ht="12.75">
      <c r="A31" s="214" t="s">
        <v>96</v>
      </c>
      <c r="B31" s="28"/>
      <c r="C31" s="225" t="s">
        <v>12</v>
      </c>
      <c r="D31" s="58" t="s">
        <v>143</v>
      </c>
      <c r="E31" s="58" t="s">
        <v>245</v>
      </c>
      <c r="F31" s="58" t="s">
        <v>246</v>
      </c>
      <c r="G31" s="58" t="s">
        <v>247</v>
      </c>
      <c r="H31" s="226"/>
    </row>
    <row r="32" spans="1:8" ht="12.75">
      <c r="A32" s="214" t="s">
        <v>89</v>
      </c>
      <c r="B32" s="28"/>
      <c r="C32" s="100">
        <f>SUM(D32:G32)</f>
        <v>33169.39938856542</v>
      </c>
      <c r="D32" s="54">
        <f>+'metodologia FA'!E137</f>
        <v>6610.1667515209165</v>
      </c>
      <c r="E32" s="54">
        <f>+'metodologia FA'!F137</f>
        <v>8179.367761922375</v>
      </c>
      <c r="F32" s="54">
        <f>+'metodologia FA'!G137</f>
        <v>9176.317638290988</v>
      </c>
      <c r="G32" s="54">
        <f>+'metodologia FA'!H137</f>
        <v>9203.547236831135</v>
      </c>
      <c r="H32" s="220"/>
    </row>
    <row r="33" spans="1:8" ht="12.75">
      <c r="A33" s="215"/>
      <c r="B33" s="28"/>
      <c r="C33" s="55"/>
      <c r="D33" s="56"/>
      <c r="E33" s="57"/>
      <c r="F33" s="57"/>
      <c r="G33" s="57"/>
      <c r="H33" s="221"/>
    </row>
    <row r="34" spans="1:8" ht="12.75">
      <c r="A34" s="222" t="s">
        <v>93</v>
      </c>
      <c r="B34" s="28"/>
      <c r="C34" s="55"/>
      <c r="D34" s="59">
        <f>+'[8]IMP 2013 2017'!E76</f>
        <v>0.9622323791195574</v>
      </c>
      <c r="E34" s="59">
        <f>+'[8]IMP 2013 2017'!F76</f>
        <v>0.8921950664066364</v>
      </c>
      <c r="F34" s="59">
        <f>+'[8]IMP 2013 2017'!G76</f>
        <v>0.8272555089537658</v>
      </c>
      <c r="G34" s="59">
        <f>+'[8]IMP 2013 2017'!H76</f>
        <v>0.7670426601333016</v>
      </c>
      <c r="H34" s="223"/>
    </row>
    <row r="35" spans="1:8" ht="15" thickBot="1">
      <c r="A35" s="219"/>
      <c r="B35" s="2"/>
      <c r="C35" s="5"/>
      <c r="D35" s="90"/>
      <c r="E35" s="91"/>
      <c r="F35" s="91"/>
      <c r="G35" s="91"/>
      <c r="H35" s="224"/>
    </row>
    <row r="36" spans="1:8" ht="15">
      <c r="A36" s="641" t="s">
        <v>94</v>
      </c>
      <c r="B36" s="642"/>
      <c r="C36" s="629" t="s">
        <v>95</v>
      </c>
      <c r="D36" s="630"/>
      <c r="E36" s="631"/>
      <c r="F36" s="632"/>
      <c r="G36" s="633"/>
      <c r="H36" s="643"/>
    </row>
    <row r="37" spans="1:8" ht="15">
      <c r="A37" s="644" t="s">
        <v>89</v>
      </c>
      <c r="B37" s="645"/>
      <c r="C37" s="635">
        <f>SUM(D37:G37)</f>
        <v>28308.780716592883</v>
      </c>
      <c r="D37" s="636">
        <f>+D$34*D32</f>
        <v>6360.516479692968</v>
      </c>
      <c r="E37" s="636">
        <f>+E$34*E32</f>
        <v>7297.591563512635</v>
      </c>
      <c r="F37" s="636">
        <f>+F$34*F32</f>
        <v>7591.159318185829</v>
      </c>
      <c r="G37" s="636">
        <f>+G$34*G32</f>
        <v>7059.513355201451</v>
      </c>
      <c r="H37" s="646"/>
    </row>
    <row r="38" spans="1:8" ht="15">
      <c r="A38" s="647"/>
      <c r="B38" s="648"/>
      <c r="C38" s="649"/>
      <c r="D38" s="650"/>
      <c r="E38" s="650"/>
      <c r="F38" s="650"/>
      <c r="G38" s="650"/>
      <c r="H38" s="650"/>
    </row>
    <row r="39" spans="1:8" ht="12.75">
      <c r="A39" s="41"/>
      <c r="B39" s="28"/>
      <c r="C39" s="28"/>
      <c r="D39" s="69"/>
      <c r="E39" s="28"/>
      <c r="F39" s="69"/>
      <c r="G39" s="69"/>
      <c r="H39" s="69"/>
    </row>
    <row r="40" ht="12.75">
      <c r="A40" t="s">
        <v>97</v>
      </c>
    </row>
    <row r="41" ht="12.75">
      <c r="A41" t="s">
        <v>106</v>
      </c>
    </row>
    <row r="50" spans="1:8" ht="12.75">
      <c r="A50" s="70"/>
      <c r="H50" s="71"/>
    </row>
    <row r="52" spans="5:12" ht="12.75">
      <c r="E52" s="1081"/>
      <c r="F52" s="1081"/>
      <c r="G52" s="1081"/>
      <c r="H52" s="1081"/>
      <c r="I52" s="1081"/>
      <c r="J52" s="1081"/>
      <c r="K52" s="1081"/>
      <c r="L52" s="1081"/>
    </row>
    <row r="53" spans="5:12" ht="12.75">
      <c r="E53" s="1083"/>
      <c r="F53" s="1083"/>
      <c r="G53" s="1083"/>
      <c r="H53" s="1083"/>
      <c r="I53" s="1083"/>
      <c r="J53" s="1083"/>
      <c r="K53" s="1083"/>
      <c r="L53" s="1083"/>
    </row>
    <row r="54" spans="5:12" ht="12.75">
      <c r="E54" s="1083"/>
      <c r="F54" s="1083"/>
      <c r="G54" s="1083"/>
      <c r="H54" s="1083"/>
      <c r="I54" s="1083"/>
      <c r="J54" s="1083"/>
      <c r="K54" s="1083"/>
      <c r="L54" s="1083"/>
    </row>
    <row r="55" spans="5:12" ht="12.75">
      <c r="E55" s="1083"/>
      <c r="F55" s="1083"/>
      <c r="G55" s="1083"/>
      <c r="H55" s="1083"/>
      <c r="I55" s="1083"/>
      <c r="J55" s="1083"/>
      <c r="K55" s="1083"/>
      <c r="L55" s="1083"/>
    </row>
    <row r="56" spans="5:12" ht="12.75">
      <c r="E56" s="1082"/>
      <c r="F56" s="1082"/>
      <c r="G56" s="1082"/>
      <c r="H56" s="1082"/>
      <c r="I56" s="1082"/>
      <c r="J56" s="1082"/>
      <c r="K56" s="1082"/>
      <c r="L56" s="1082"/>
    </row>
    <row r="57" spans="5:12" ht="12.75">
      <c r="E57" s="487"/>
      <c r="F57" s="487"/>
      <c r="G57" s="487"/>
      <c r="H57" s="487"/>
      <c r="I57" s="487"/>
      <c r="J57" s="487"/>
      <c r="K57" s="487"/>
      <c r="L57" s="487"/>
    </row>
    <row r="58" spans="5:12" ht="12.75">
      <c r="E58" s="487"/>
      <c r="F58" s="487"/>
      <c r="G58" s="487"/>
      <c r="H58" s="487"/>
      <c r="I58" s="487"/>
      <c r="J58" s="487"/>
      <c r="K58" s="487"/>
      <c r="L58" s="487"/>
    </row>
    <row r="59" spans="5:12" ht="12.75">
      <c r="E59" s="487"/>
      <c r="F59" s="487"/>
      <c r="G59" s="487"/>
      <c r="H59" s="487"/>
      <c r="I59" s="487"/>
      <c r="J59" s="487"/>
      <c r="K59" s="487"/>
      <c r="L59" s="487"/>
    </row>
    <row r="61" spans="5:12" ht="12.75">
      <c r="E61" s="436"/>
      <c r="F61" s="437"/>
      <c r="G61" s="437"/>
      <c r="H61" s="437"/>
      <c r="I61" s="437"/>
      <c r="J61" s="437"/>
      <c r="K61" s="437"/>
      <c r="L61" s="437"/>
    </row>
    <row r="62" spans="5:12" ht="12.75">
      <c r="E62" s="438"/>
      <c r="F62" s="39"/>
      <c r="G62" s="439"/>
      <c r="H62" s="40"/>
      <c r="I62" s="40"/>
      <c r="J62" s="40"/>
      <c r="K62" s="40"/>
      <c r="L62" s="40"/>
    </row>
    <row r="63" spans="5:12" ht="12.75">
      <c r="E63" s="438"/>
      <c r="F63" s="39"/>
      <c r="G63" s="439"/>
      <c r="H63" s="40"/>
      <c r="I63" s="40"/>
      <c r="J63" s="40"/>
      <c r="K63" s="40"/>
      <c r="L63" s="40"/>
    </row>
    <row r="64" spans="5:12" ht="12.75">
      <c r="E64" s="438"/>
      <c r="F64" s="39"/>
      <c r="G64" s="877"/>
      <c r="H64" s="40"/>
      <c r="I64" s="40"/>
      <c r="J64" s="40"/>
      <c r="K64" s="40"/>
      <c r="L64" s="40"/>
    </row>
    <row r="65" spans="5:12" ht="12.75">
      <c r="E65" s="438"/>
      <c r="F65" s="39"/>
      <c r="G65" s="440"/>
      <c r="H65" s="441"/>
      <c r="I65" s="441"/>
      <c r="J65" s="441"/>
      <c r="K65" s="441"/>
      <c r="L65" s="441"/>
    </row>
    <row r="66" spans="5:12" ht="12.75">
      <c r="E66" s="214"/>
      <c r="F66" s="42"/>
      <c r="G66" s="43"/>
      <c r="H66" s="28"/>
      <c r="I66" s="28"/>
      <c r="J66" s="28"/>
      <c r="K66" s="37"/>
      <c r="L66" s="55"/>
    </row>
    <row r="67" spans="5:12" ht="12.75">
      <c r="E67" s="438"/>
      <c r="F67" s="39"/>
      <c r="G67" s="1084"/>
      <c r="H67" s="1085"/>
      <c r="I67" s="1085"/>
      <c r="J67" s="1085"/>
      <c r="K67" s="1085"/>
      <c r="L67" s="1086"/>
    </row>
    <row r="68" spans="5:12" ht="12.75">
      <c r="E68" s="438"/>
      <c r="F68" s="39"/>
      <c r="G68" s="1087"/>
      <c r="H68" s="1088"/>
      <c r="I68" s="1088"/>
      <c r="J68" s="1088"/>
      <c r="K68" s="1088"/>
      <c r="L68" s="1089"/>
    </row>
    <row r="69" spans="5:12" ht="12.75">
      <c r="E69" s="214"/>
      <c r="F69" s="42"/>
      <c r="G69" s="42"/>
      <c r="H69" s="42"/>
      <c r="I69" s="42"/>
      <c r="J69" s="42"/>
      <c r="K69" s="42"/>
      <c r="L69" s="442"/>
    </row>
    <row r="70" spans="5:12" ht="12.75">
      <c r="E70" s="438"/>
      <c r="F70" s="39"/>
      <c r="G70" s="44"/>
      <c r="H70" s="44"/>
      <c r="I70" s="44"/>
      <c r="J70" s="44"/>
      <c r="K70" s="44"/>
      <c r="L70" s="44"/>
    </row>
    <row r="71" spans="5:12" ht="12.75">
      <c r="E71" s="214"/>
      <c r="F71" s="42"/>
      <c r="G71" s="42"/>
      <c r="H71" s="28"/>
      <c r="I71" s="28"/>
      <c r="J71" s="28"/>
      <c r="K71" s="28"/>
      <c r="L71" s="55"/>
    </row>
    <row r="72" spans="5:12" ht="13.5" thickBot="1">
      <c r="E72" s="443"/>
      <c r="F72" s="83"/>
      <c r="G72" s="84"/>
      <c r="H72" s="85"/>
      <c r="I72" s="85"/>
      <c r="J72" s="85"/>
      <c r="K72" s="85"/>
      <c r="L72" s="85"/>
    </row>
    <row r="73" spans="5:12" ht="13.5" thickBot="1">
      <c r="E73" s="215"/>
      <c r="F73" s="28"/>
      <c r="G73" s="28"/>
      <c r="H73" s="28"/>
      <c r="I73" s="28"/>
      <c r="J73" s="28"/>
      <c r="K73" s="28"/>
      <c r="L73" s="55"/>
    </row>
    <row r="74" spans="5:12" ht="12.75">
      <c r="E74" s="216"/>
      <c r="F74" s="46"/>
      <c r="G74" s="47"/>
      <c r="H74" s="26"/>
      <c r="I74" s="26"/>
      <c r="J74" s="26"/>
      <c r="K74" s="26"/>
      <c r="L74" s="26"/>
    </row>
    <row r="75" spans="5:12" ht="12.75">
      <c r="E75" s="217"/>
      <c r="F75" s="49"/>
      <c r="G75" s="49"/>
      <c r="H75" s="50"/>
      <c r="I75" s="50"/>
      <c r="J75" s="50"/>
      <c r="K75" s="50"/>
      <c r="L75" s="50"/>
    </row>
    <row r="76" spans="5:12" ht="12.75">
      <c r="E76" s="215"/>
      <c r="F76" s="51"/>
      <c r="G76" s="51"/>
      <c r="H76" s="444"/>
      <c r="I76" s="444"/>
      <c r="J76" s="444"/>
      <c r="K76" s="444"/>
      <c r="L76" s="444"/>
    </row>
    <row r="77" spans="5:12" ht="12.75">
      <c r="E77" s="215"/>
      <c r="F77" s="51"/>
      <c r="G77" s="51"/>
      <c r="H77" s="444"/>
      <c r="I77" s="444"/>
      <c r="J77" s="444"/>
      <c r="K77" s="444"/>
      <c r="L77" s="444"/>
    </row>
    <row r="78" spans="5:12" ht="12.75">
      <c r="E78" s="218"/>
      <c r="F78" s="51"/>
      <c r="G78" s="51"/>
      <c r="H78" s="444"/>
      <c r="I78" s="444"/>
      <c r="J78" s="444"/>
      <c r="K78" s="444"/>
      <c r="L78" s="444"/>
    </row>
    <row r="79" spans="5:12" ht="12.75">
      <c r="E79" s="215"/>
      <c r="F79" s="51"/>
      <c r="G79" s="51"/>
      <c r="H79" s="444"/>
      <c r="I79" s="444"/>
      <c r="J79" s="444"/>
      <c r="K79" s="444"/>
      <c r="L79" s="444"/>
    </row>
    <row r="80" spans="5:12" ht="12.75">
      <c r="E80" s="217"/>
      <c r="F80" s="227"/>
      <c r="G80" s="227"/>
      <c r="H80" s="227"/>
      <c r="I80" s="227"/>
      <c r="J80" s="227"/>
      <c r="K80" s="227"/>
      <c r="L80" s="228"/>
    </row>
    <row r="81" spans="5:12" ht="12.75">
      <c r="E81" s="214"/>
      <c r="F81" s="28"/>
      <c r="G81" s="225"/>
      <c r="H81" s="58"/>
      <c r="I81" s="58"/>
      <c r="J81" s="58"/>
      <c r="K81" s="58"/>
      <c r="L81" s="226"/>
    </row>
    <row r="82" spans="5:12" ht="12.75">
      <c r="E82" s="214"/>
      <c r="F82" s="28"/>
      <c r="G82" s="100"/>
      <c r="H82" s="54"/>
      <c r="I82" s="54"/>
      <c r="J82" s="54"/>
      <c r="K82" s="54"/>
      <c r="L82" s="220"/>
    </row>
    <row r="83" spans="5:12" ht="12.75">
      <c r="E83" s="215"/>
      <c r="F83" s="28"/>
      <c r="G83" s="55"/>
      <c r="H83" s="56"/>
      <c r="I83" s="57"/>
      <c r="J83" s="57"/>
      <c r="K83" s="57"/>
      <c r="L83" s="221"/>
    </row>
    <row r="84" spans="5:12" ht="12.75">
      <c r="E84" s="222"/>
      <c r="F84" s="28"/>
      <c r="G84" s="55"/>
      <c r="H84" s="59"/>
      <c r="I84" s="59"/>
      <c r="J84" s="59"/>
      <c r="K84" s="59"/>
      <c r="L84" s="223"/>
    </row>
    <row r="85" spans="5:12" ht="15" thickBot="1">
      <c r="E85" s="219"/>
      <c r="F85" s="2"/>
      <c r="G85" s="5"/>
      <c r="H85" s="90"/>
      <c r="I85" s="91"/>
      <c r="J85" s="91"/>
      <c r="K85" s="91"/>
      <c r="L85" s="224"/>
    </row>
    <row r="86" spans="5:12" ht="15">
      <c r="E86" s="641"/>
      <c r="F86" s="642"/>
      <c r="G86" s="629"/>
      <c r="H86" s="630"/>
      <c r="I86" s="631"/>
      <c r="J86" s="632"/>
      <c r="K86" s="633"/>
      <c r="L86" s="643"/>
    </row>
    <row r="87" spans="5:12" ht="15">
      <c r="E87" s="644"/>
      <c r="F87" s="645"/>
      <c r="G87" s="635"/>
      <c r="H87" s="636"/>
      <c r="I87" s="636"/>
      <c r="J87" s="636"/>
      <c r="K87" s="636"/>
      <c r="L87" s="646"/>
    </row>
    <row r="88" spans="5:12" ht="15">
      <c r="E88" s="647"/>
      <c r="F88" s="648"/>
      <c r="G88" s="649"/>
      <c r="H88" s="650"/>
      <c r="I88" s="650"/>
      <c r="J88" s="650"/>
      <c r="K88" s="650"/>
      <c r="L88" s="650"/>
    </row>
    <row r="89" spans="5:12" ht="12.75">
      <c r="E89" s="41"/>
      <c r="F89" s="28"/>
      <c r="G89" s="28"/>
      <c r="H89" s="69"/>
      <c r="I89" s="28"/>
      <c r="J89" s="69"/>
      <c r="K89" s="69"/>
      <c r="L89" s="69"/>
    </row>
  </sheetData>
  <sheetProtection password="CC53" sheet="1" objects="1" scenarios="1"/>
  <mergeCells count="12">
    <mergeCell ref="C17:H18"/>
    <mergeCell ref="A6:H6"/>
    <mergeCell ref="A2:H2"/>
    <mergeCell ref="A4:H4"/>
    <mergeCell ref="A5:H5"/>
    <mergeCell ref="A3:H3"/>
    <mergeCell ref="G67:L68"/>
    <mergeCell ref="E52:L52"/>
    <mergeCell ref="E53:L53"/>
    <mergeCell ref="E54:L54"/>
    <mergeCell ref="E55:L55"/>
    <mergeCell ref="E56:L56"/>
  </mergeCells>
  <printOptions horizontalCentered="1" verticalCentered="1"/>
  <pageMargins left="0.75" right="0.75" top="0.55" bottom="1.34" header="0" footer="0.53"/>
  <pageSetup fitToHeight="1" fitToWidth="1" horizontalDpi="600" verticalDpi="600" orientation="landscape" r:id="rId4"/>
  <headerFooter alignWithMargins="0">
    <oddHeader>&amp;C&amp;F</oddHeader>
    <oddFooter>&amp;LHOJA: &amp;A&amp;R&amp;D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zoomScale="90" zoomScaleNormal="90" workbookViewId="0" topLeftCell="A1">
      <selection activeCell="F7" sqref="F7"/>
    </sheetView>
  </sheetViews>
  <sheetFormatPr defaultColWidth="11.421875" defaultRowHeight="12.75"/>
  <cols>
    <col min="1" max="1" width="27.57421875" style="0" bestFit="1" customWidth="1"/>
    <col min="2" max="2" width="12.140625" style="0" bestFit="1" customWidth="1"/>
    <col min="3" max="3" width="11.7109375" style="0" bestFit="1" customWidth="1"/>
    <col min="4" max="4" width="18.7109375" style="0" customWidth="1"/>
  </cols>
  <sheetData>
    <row r="1" spans="1:7" ht="15.75">
      <c r="A1" s="1031" t="s">
        <v>13</v>
      </c>
      <c r="B1" s="1031"/>
      <c r="C1" s="1031"/>
      <c r="D1" s="1031"/>
      <c r="E1" s="1031"/>
      <c r="F1" s="1031"/>
      <c r="G1" s="1031"/>
    </row>
    <row r="2" spans="1:7" ht="15.75">
      <c r="A2" s="1031" t="s">
        <v>98</v>
      </c>
      <c r="B2" s="1031"/>
      <c r="C2" s="1031"/>
      <c r="D2" s="1031"/>
      <c r="E2" s="1031"/>
      <c r="F2" s="1031"/>
      <c r="G2" s="1031"/>
    </row>
    <row r="3" spans="1:7" ht="15.75">
      <c r="A3" s="1031" t="s">
        <v>99</v>
      </c>
      <c r="B3" s="1031"/>
      <c r="C3" s="1031"/>
      <c r="D3" s="1031"/>
      <c r="E3" s="1031"/>
      <c r="F3" s="1031"/>
      <c r="G3" s="1031"/>
    </row>
    <row r="4" spans="1:7" ht="15" customHeight="1">
      <c r="A4" s="1101"/>
      <c r="B4" s="1101"/>
      <c r="C4" s="1101"/>
      <c r="D4" s="1101"/>
      <c r="E4" s="1101"/>
      <c r="F4" s="1101"/>
      <c r="G4" s="1101"/>
    </row>
    <row r="5" spans="1:7" ht="36" customHeight="1" thickBot="1">
      <c r="A5" s="25"/>
      <c r="B5" s="25"/>
      <c r="C5" s="25"/>
      <c r="D5" s="25"/>
      <c r="E5" s="25"/>
      <c r="F5" s="25"/>
      <c r="G5" s="25"/>
    </row>
    <row r="6" spans="1:7" ht="15.75">
      <c r="A6" s="1098" t="s">
        <v>102</v>
      </c>
      <c r="B6" s="1099"/>
      <c r="C6" s="1099"/>
      <c r="D6" s="1099"/>
      <c r="E6" s="1099"/>
      <c r="F6" s="1099"/>
      <c r="G6" s="1100"/>
    </row>
    <row r="7" spans="1:7" ht="15.75">
      <c r="A7" s="235"/>
      <c r="B7" s="233"/>
      <c r="C7" s="232"/>
      <c r="D7" s="229" t="str">
        <f>+'[8]IMP 2013 2017'!E68</f>
        <v>2013-2014</v>
      </c>
      <c r="E7" s="229" t="str">
        <f>+'[8]IMP 2013 2017'!F68</f>
        <v>2014-2015</v>
      </c>
      <c r="F7" s="229" t="str">
        <f>+'[8]IMP 2013 2017'!G68</f>
        <v>2015-2016</v>
      </c>
      <c r="G7" s="229" t="str">
        <f>+'[8]IMP 2013 2017'!H68</f>
        <v>2016-2017</v>
      </c>
    </row>
    <row r="8" spans="1:7" ht="12.75">
      <c r="A8" s="72" t="s">
        <v>101</v>
      </c>
      <c r="B8" s="234" t="s">
        <v>100</v>
      </c>
      <c r="C8" s="67">
        <f>SUM(D8:G8)</f>
        <v>17542.54706299073</v>
      </c>
      <c r="D8" s="230">
        <f>+'[8]IPCT'!D38</f>
        <v>3449.4608439455383</v>
      </c>
      <c r="E8" s="230">
        <f>+'[8]IPCT'!E38</f>
        <v>4484.0457828563785</v>
      </c>
      <c r="F8" s="73">
        <f>+'[8]IPCT'!F38</f>
        <v>4968.919450104108</v>
      </c>
      <c r="G8" s="231">
        <f>+'[8]IPCT'!G38</f>
        <v>4640.120986084706</v>
      </c>
    </row>
    <row r="9" spans="1:7" ht="15.75" thickBot="1">
      <c r="A9" s="6" t="s">
        <v>103</v>
      </c>
      <c r="B9" s="236" t="s">
        <v>95</v>
      </c>
      <c r="D9" s="237"/>
      <c r="E9" s="237"/>
      <c r="F9" s="73"/>
      <c r="G9" s="238"/>
    </row>
    <row r="10" spans="1:7" ht="16.5" thickBot="1">
      <c r="A10" s="1092" t="s">
        <v>104</v>
      </c>
      <c r="B10" s="1093"/>
      <c r="C10" s="1093"/>
      <c r="D10" s="1093"/>
      <c r="E10" s="1093"/>
      <c r="F10" s="1093"/>
      <c r="G10" s="1094"/>
    </row>
    <row r="11" spans="1:7" ht="12.75">
      <c r="A11" s="239" t="s">
        <v>101</v>
      </c>
      <c r="B11" s="240" t="s">
        <v>100</v>
      </c>
      <c r="C11" s="241">
        <f>SUM(D11:G11)</f>
        <v>28308.780716592883</v>
      </c>
      <c r="D11" s="242">
        <f>+'[8]FAA'!E139</f>
        <v>6360.516479692968</v>
      </c>
      <c r="E11" s="243">
        <f>+'[8]FAA'!F139</f>
        <v>7297.591563512635</v>
      </c>
      <c r="F11" s="243">
        <f>+'[8]FAA'!G139</f>
        <v>7591.159318185829</v>
      </c>
      <c r="G11" s="244">
        <f>+'[8]FAA'!H139</f>
        <v>7059.513355201451</v>
      </c>
    </row>
    <row r="12" spans="1:7" ht="15.75" thickBot="1">
      <c r="A12" s="68" t="s">
        <v>103</v>
      </c>
      <c r="B12" s="245" t="s">
        <v>95</v>
      </c>
      <c r="C12" s="2"/>
      <c r="D12" s="219"/>
      <c r="E12" s="2"/>
      <c r="F12" s="2"/>
      <c r="G12" s="30"/>
    </row>
    <row r="13" spans="1:7" ht="16.5" thickBot="1">
      <c r="A13" s="1095" t="s">
        <v>105</v>
      </c>
      <c r="B13" s="1096"/>
      <c r="C13" s="1096"/>
      <c r="D13" s="1096"/>
      <c r="E13" s="1096"/>
      <c r="F13" s="1096"/>
      <c r="G13" s="1097"/>
    </row>
    <row r="14" spans="1:7" ht="16.5" thickBot="1">
      <c r="A14" s="74"/>
      <c r="B14" s="74"/>
      <c r="C14" s="255">
        <f>ROUND(+C8/C11,4)</f>
        <v>0.6197</v>
      </c>
      <c r="D14" s="74"/>
      <c r="E14" s="74"/>
      <c r="F14" s="74"/>
      <c r="G14" s="74"/>
    </row>
    <row r="16" spans="1:8" ht="12.75">
      <c r="A16" s="1090"/>
      <c r="B16" s="1091"/>
      <c r="C16" s="73"/>
      <c r="D16" s="73"/>
      <c r="E16" s="73"/>
      <c r="F16" s="73"/>
      <c r="G16" s="28"/>
      <c r="H16" s="28"/>
    </row>
    <row r="17" spans="1:8" ht="12.75">
      <c r="A17" s="75"/>
      <c r="B17" s="75"/>
      <c r="C17" s="75"/>
      <c r="D17" s="75"/>
      <c r="E17" s="94"/>
      <c r="F17" s="28"/>
      <c r="G17" s="28"/>
      <c r="H17" s="28"/>
    </row>
    <row r="18" spans="1:8" ht="12.75">
      <c r="A18" s="75"/>
      <c r="B18" s="76"/>
      <c r="C18" s="76"/>
      <c r="D18" s="76"/>
      <c r="E18" s="76"/>
      <c r="F18" s="28"/>
      <c r="G18" s="28"/>
      <c r="H18" s="28"/>
    </row>
    <row r="19" spans="1:8" ht="12.75">
      <c r="A19" s="28"/>
      <c r="B19" s="28"/>
      <c r="C19" s="28"/>
      <c r="D19" s="28"/>
      <c r="E19" s="28"/>
      <c r="F19" s="28"/>
      <c r="G19" s="28"/>
      <c r="H19" s="28"/>
    </row>
    <row r="20" spans="1:8" ht="12.75">
      <c r="A20" s="41"/>
      <c r="B20" s="28"/>
      <c r="C20" s="28"/>
      <c r="D20" s="28"/>
      <c r="E20" s="28"/>
      <c r="F20" s="28"/>
      <c r="G20" s="28"/>
      <c r="H20" s="28"/>
    </row>
    <row r="21" spans="1:8" ht="12.75">
      <c r="A21" s="28"/>
      <c r="B21" s="77"/>
      <c r="C21" s="28"/>
      <c r="D21" s="28"/>
      <c r="E21" s="28"/>
      <c r="F21" s="28"/>
      <c r="G21" s="28"/>
      <c r="H21" s="28"/>
    </row>
    <row r="22" spans="1:8" ht="12.75">
      <c r="A22" s="28"/>
      <c r="B22" s="77"/>
      <c r="C22" s="78"/>
      <c r="D22" s="79"/>
      <c r="E22" s="28"/>
      <c r="F22" s="28"/>
      <c r="G22" s="28"/>
      <c r="H22" s="28"/>
    </row>
    <row r="23" spans="1:8" ht="12.75">
      <c r="A23" s="28"/>
      <c r="B23" s="28"/>
      <c r="C23" s="28"/>
      <c r="D23" s="28"/>
      <c r="E23" s="28"/>
      <c r="F23" s="28"/>
      <c r="G23" s="28"/>
      <c r="H23" s="28"/>
    </row>
  </sheetData>
  <sheetProtection password="CC53" sheet="1" objects="1" scenarios="1"/>
  <mergeCells count="8">
    <mergeCell ref="A16:B16"/>
    <mergeCell ref="A10:G10"/>
    <mergeCell ref="A13:G13"/>
    <mergeCell ref="A1:G1"/>
    <mergeCell ref="A2:G2"/>
    <mergeCell ref="A3:G3"/>
    <mergeCell ref="A6:G6"/>
    <mergeCell ref="A4:G4"/>
  </mergeCells>
  <printOptions horizontalCentered="1" verticalCentered="1"/>
  <pageMargins left="0.75" right="0.75" top="1.8897637795275593" bottom="1.062992125984252" header="0" footer="0.7086614173228347"/>
  <pageSetup fitToHeight="1" fitToWidth="1" horizontalDpi="300" verticalDpi="300" orientation="landscape" r:id="rId2"/>
  <headerFooter alignWithMargins="0">
    <oddHeader>&amp;C&amp;F</oddHeader>
    <oddFooter>&amp;L&amp;8&amp;F, Hoja &amp;A&amp;R&amp;DPágina &amp;P de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Q146"/>
  <sheetViews>
    <sheetView zoomScale="70" zoomScaleNormal="70" workbookViewId="0" topLeftCell="A1">
      <selection activeCell="A163" sqref="A163"/>
    </sheetView>
  </sheetViews>
  <sheetFormatPr defaultColWidth="9.140625" defaultRowHeight="12.75"/>
  <cols>
    <col min="1" max="1" width="57.421875" style="335" customWidth="1"/>
    <col min="2" max="2" width="11.7109375" style="335" customWidth="1"/>
    <col min="3" max="3" width="18.140625" style="335" customWidth="1"/>
    <col min="4" max="5" width="14.8515625" style="335" customWidth="1"/>
    <col min="6" max="6" width="15.28125" style="335" customWidth="1"/>
    <col min="7" max="7" width="15.00390625" style="335" customWidth="1"/>
    <col min="8" max="8" width="14.140625" style="335" customWidth="1"/>
    <col min="9" max="9" width="16.00390625" style="335" customWidth="1"/>
    <col min="10" max="10" width="17.140625" style="335" bestFit="1" customWidth="1"/>
    <col min="11" max="11" width="10.7109375" style="335" bestFit="1" customWidth="1"/>
    <col min="12" max="12" width="10.421875" style="335" bestFit="1" customWidth="1"/>
    <col min="13" max="13" width="10.7109375" style="335" bestFit="1" customWidth="1"/>
    <col min="14" max="14" width="10.28125" style="335" bestFit="1" customWidth="1"/>
    <col min="15" max="256" width="9.140625" style="335" customWidth="1"/>
    <col min="257" max="257" width="57.421875" style="335" customWidth="1"/>
    <col min="258" max="258" width="11.7109375" style="335" customWidth="1"/>
    <col min="259" max="259" width="18.140625" style="335" customWidth="1"/>
    <col min="260" max="261" width="14.8515625" style="335" customWidth="1"/>
    <col min="262" max="262" width="15.28125" style="335" customWidth="1"/>
    <col min="263" max="263" width="15.00390625" style="335" customWidth="1"/>
    <col min="264" max="264" width="14.140625" style="335" customWidth="1"/>
    <col min="265" max="265" width="16.00390625" style="335" customWidth="1"/>
    <col min="266" max="266" width="17.140625" style="335" bestFit="1" customWidth="1"/>
    <col min="267" max="267" width="10.7109375" style="335" bestFit="1" customWidth="1"/>
    <col min="268" max="268" width="10.421875" style="335" bestFit="1" customWidth="1"/>
    <col min="269" max="269" width="10.7109375" style="335" bestFit="1" customWidth="1"/>
    <col min="270" max="270" width="10.28125" style="335" bestFit="1" customWidth="1"/>
    <col min="271" max="512" width="9.140625" style="335" customWidth="1"/>
    <col min="513" max="513" width="57.421875" style="335" customWidth="1"/>
    <col min="514" max="514" width="11.7109375" style="335" customWidth="1"/>
    <col min="515" max="515" width="18.140625" style="335" customWidth="1"/>
    <col min="516" max="517" width="14.8515625" style="335" customWidth="1"/>
    <col min="518" max="518" width="15.28125" style="335" customWidth="1"/>
    <col min="519" max="519" width="15.00390625" style="335" customWidth="1"/>
    <col min="520" max="520" width="14.140625" style="335" customWidth="1"/>
    <col min="521" max="521" width="16.00390625" style="335" customWidth="1"/>
    <col min="522" max="522" width="17.140625" style="335" bestFit="1" customWidth="1"/>
    <col min="523" max="523" width="10.7109375" style="335" bestFit="1" customWidth="1"/>
    <col min="524" max="524" width="10.421875" style="335" bestFit="1" customWidth="1"/>
    <col min="525" max="525" width="10.7109375" style="335" bestFit="1" customWidth="1"/>
    <col min="526" max="526" width="10.28125" style="335" bestFit="1" customWidth="1"/>
    <col min="527" max="768" width="9.140625" style="335" customWidth="1"/>
    <col min="769" max="769" width="57.421875" style="335" customWidth="1"/>
    <col min="770" max="770" width="11.7109375" style="335" customWidth="1"/>
    <col min="771" max="771" width="18.140625" style="335" customWidth="1"/>
    <col min="772" max="773" width="14.8515625" style="335" customWidth="1"/>
    <col min="774" max="774" width="15.28125" style="335" customWidth="1"/>
    <col min="775" max="775" width="15.00390625" style="335" customWidth="1"/>
    <col min="776" max="776" width="14.140625" style="335" customWidth="1"/>
    <col min="777" max="777" width="16.00390625" style="335" customWidth="1"/>
    <col min="778" max="778" width="17.140625" style="335" bestFit="1" customWidth="1"/>
    <col min="779" max="779" width="10.7109375" style="335" bestFit="1" customWidth="1"/>
    <col min="780" max="780" width="10.421875" style="335" bestFit="1" customWidth="1"/>
    <col min="781" max="781" width="10.7109375" style="335" bestFit="1" customWidth="1"/>
    <col min="782" max="782" width="10.28125" style="335" bestFit="1" customWidth="1"/>
    <col min="783" max="1024" width="9.140625" style="335" customWidth="1"/>
    <col min="1025" max="1025" width="57.421875" style="335" customWidth="1"/>
    <col min="1026" max="1026" width="11.7109375" style="335" customWidth="1"/>
    <col min="1027" max="1027" width="18.140625" style="335" customWidth="1"/>
    <col min="1028" max="1029" width="14.8515625" style="335" customWidth="1"/>
    <col min="1030" max="1030" width="15.28125" style="335" customWidth="1"/>
    <col min="1031" max="1031" width="15.00390625" style="335" customWidth="1"/>
    <col min="1032" max="1032" width="14.140625" style="335" customWidth="1"/>
    <col min="1033" max="1033" width="16.00390625" style="335" customWidth="1"/>
    <col min="1034" max="1034" width="17.140625" style="335" bestFit="1" customWidth="1"/>
    <col min="1035" max="1035" width="10.7109375" style="335" bestFit="1" customWidth="1"/>
    <col min="1036" max="1036" width="10.421875" style="335" bestFit="1" customWidth="1"/>
    <col min="1037" max="1037" width="10.7109375" style="335" bestFit="1" customWidth="1"/>
    <col min="1038" max="1038" width="10.28125" style="335" bestFit="1" customWidth="1"/>
    <col min="1039" max="1280" width="9.140625" style="335" customWidth="1"/>
    <col min="1281" max="1281" width="57.421875" style="335" customWidth="1"/>
    <col min="1282" max="1282" width="11.7109375" style="335" customWidth="1"/>
    <col min="1283" max="1283" width="18.140625" style="335" customWidth="1"/>
    <col min="1284" max="1285" width="14.8515625" style="335" customWidth="1"/>
    <col min="1286" max="1286" width="15.28125" style="335" customWidth="1"/>
    <col min="1287" max="1287" width="15.00390625" style="335" customWidth="1"/>
    <col min="1288" max="1288" width="14.140625" style="335" customWidth="1"/>
    <col min="1289" max="1289" width="16.00390625" style="335" customWidth="1"/>
    <col min="1290" max="1290" width="17.140625" style="335" bestFit="1" customWidth="1"/>
    <col min="1291" max="1291" width="10.7109375" style="335" bestFit="1" customWidth="1"/>
    <col min="1292" max="1292" width="10.421875" style="335" bestFit="1" customWidth="1"/>
    <col min="1293" max="1293" width="10.7109375" style="335" bestFit="1" customWidth="1"/>
    <col min="1294" max="1294" width="10.28125" style="335" bestFit="1" customWidth="1"/>
    <col min="1295" max="1536" width="9.140625" style="335" customWidth="1"/>
    <col min="1537" max="1537" width="57.421875" style="335" customWidth="1"/>
    <col min="1538" max="1538" width="11.7109375" style="335" customWidth="1"/>
    <col min="1539" max="1539" width="18.140625" style="335" customWidth="1"/>
    <col min="1540" max="1541" width="14.8515625" style="335" customWidth="1"/>
    <col min="1542" max="1542" width="15.28125" style="335" customWidth="1"/>
    <col min="1543" max="1543" width="15.00390625" style="335" customWidth="1"/>
    <col min="1544" max="1544" width="14.140625" style="335" customWidth="1"/>
    <col min="1545" max="1545" width="16.00390625" style="335" customWidth="1"/>
    <col min="1546" max="1546" width="17.140625" style="335" bestFit="1" customWidth="1"/>
    <col min="1547" max="1547" width="10.7109375" style="335" bestFit="1" customWidth="1"/>
    <col min="1548" max="1548" width="10.421875" style="335" bestFit="1" customWidth="1"/>
    <col min="1549" max="1549" width="10.7109375" style="335" bestFit="1" customWidth="1"/>
    <col min="1550" max="1550" width="10.28125" style="335" bestFit="1" customWidth="1"/>
    <col min="1551" max="1792" width="9.140625" style="335" customWidth="1"/>
    <col min="1793" max="1793" width="57.421875" style="335" customWidth="1"/>
    <col min="1794" max="1794" width="11.7109375" style="335" customWidth="1"/>
    <col min="1795" max="1795" width="18.140625" style="335" customWidth="1"/>
    <col min="1796" max="1797" width="14.8515625" style="335" customWidth="1"/>
    <col min="1798" max="1798" width="15.28125" style="335" customWidth="1"/>
    <col min="1799" max="1799" width="15.00390625" style="335" customWidth="1"/>
    <col min="1800" max="1800" width="14.140625" style="335" customWidth="1"/>
    <col min="1801" max="1801" width="16.00390625" style="335" customWidth="1"/>
    <col min="1802" max="1802" width="17.140625" style="335" bestFit="1" customWidth="1"/>
    <col min="1803" max="1803" width="10.7109375" style="335" bestFit="1" customWidth="1"/>
    <col min="1804" max="1804" width="10.421875" style="335" bestFit="1" customWidth="1"/>
    <col min="1805" max="1805" width="10.7109375" style="335" bestFit="1" customWidth="1"/>
    <col min="1806" max="1806" width="10.28125" style="335" bestFit="1" customWidth="1"/>
    <col min="1807" max="2048" width="9.140625" style="335" customWidth="1"/>
    <col min="2049" max="2049" width="57.421875" style="335" customWidth="1"/>
    <col min="2050" max="2050" width="11.7109375" style="335" customWidth="1"/>
    <col min="2051" max="2051" width="18.140625" style="335" customWidth="1"/>
    <col min="2052" max="2053" width="14.8515625" style="335" customWidth="1"/>
    <col min="2054" max="2054" width="15.28125" style="335" customWidth="1"/>
    <col min="2055" max="2055" width="15.00390625" style="335" customWidth="1"/>
    <col min="2056" max="2056" width="14.140625" style="335" customWidth="1"/>
    <col min="2057" max="2057" width="16.00390625" style="335" customWidth="1"/>
    <col min="2058" max="2058" width="17.140625" style="335" bestFit="1" customWidth="1"/>
    <col min="2059" max="2059" width="10.7109375" style="335" bestFit="1" customWidth="1"/>
    <col min="2060" max="2060" width="10.421875" style="335" bestFit="1" customWidth="1"/>
    <col min="2061" max="2061" width="10.7109375" style="335" bestFit="1" customWidth="1"/>
    <col min="2062" max="2062" width="10.28125" style="335" bestFit="1" customWidth="1"/>
    <col min="2063" max="2304" width="9.140625" style="335" customWidth="1"/>
    <col min="2305" max="2305" width="57.421875" style="335" customWidth="1"/>
    <col min="2306" max="2306" width="11.7109375" style="335" customWidth="1"/>
    <col min="2307" max="2307" width="18.140625" style="335" customWidth="1"/>
    <col min="2308" max="2309" width="14.8515625" style="335" customWidth="1"/>
    <col min="2310" max="2310" width="15.28125" style="335" customWidth="1"/>
    <col min="2311" max="2311" width="15.00390625" style="335" customWidth="1"/>
    <col min="2312" max="2312" width="14.140625" style="335" customWidth="1"/>
    <col min="2313" max="2313" width="16.00390625" style="335" customWidth="1"/>
    <col min="2314" max="2314" width="17.140625" style="335" bestFit="1" customWidth="1"/>
    <col min="2315" max="2315" width="10.7109375" style="335" bestFit="1" customWidth="1"/>
    <col min="2316" max="2316" width="10.421875" style="335" bestFit="1" customWidth="1"/>
    <col min="2317" max="2317" width="10.7109375" style="335" bestFit="1" customWidth="1"/>
    <col min="2318" max="2318" width="10.28125" style="335" bestFit="1" customWidth="1"/>
    <col min="2319" max="2560" width="9.140625" style="335" customWidth="1"/>
    <col min="2561" max="2561" width="57.421875" style="335" customWidth="1"/>
    <col min="2562" max="2562" width="11.7109375" style="335" customWidth="1"/>
    <col min="2563" max="2563" width="18.140625" style="335" customWidth="1"/>
    <col min="2564" max="2565" width="14.8515625" style="335" customWidth="1"/>
    <col min="2566" max="2566" width="15.28125" style="335" customWidth="1"/>
    <col min="2567" max="2567" width="15.00390625" style="335" customWidth="1"/>
    <col min="2568" max="2568" width="14.140625" style="335" customWidth="1"/>
    <col min="2569" max="2569" width="16.00390625" style="335" customWidth="1"/>
    <col min="2570" max="2570" width="17.140625" style="335" bestFit="1" customWidth="1"/>
    <col min="2571" max="2571" width="10.7109375" style="335" bestFit="1" customWidth="1"/>
    <col min="2572" max="2572" width="10.421875" style="335" bestFit="1" customWidth="1"/>
    <col min="2573" max="2573" width="10.7109375" style="335" bestFit="1" customWidth="1"/>
    <col min="2574" max="2574" width="10.28125" style="335" bestFit="1" customWidth="1"/>
    <col min="2575" max="2816" width="9.140625" style="335" customWidth="1"/>
    <col min="2817" max="2817" width="57.421875" style="335" customWidth="1"/>
    <col min="2818" max="2818" width="11.7109375" style="335" customWidth="1"/>
    <col min="2819" max="2819" width="18.140625" style="335" customWidth="1"/>
    <col min="2820" max="2821" width="14.8515625" style="335" customWidth="1"/>
    <col min="2822" max="2822" width="15.28125" style="335" customWidth="1"/>
    <col min="2823" max="2823" width="15.00390625" style="335" customWidth="1"/>
    <col min="2824" max="2824" width="14.140625" style="335" customWidth="1"/>
    <col min="2825" max="2825" width="16.00390625" style="335" customWidth="1"/>
    <col min="2826" max="2826" width="17.140625" style="335" bestFit="1" customWidth="1"/>
    <col min="2827" max="2827" width="10.7109375" style="335" bestFit="1" customWidth="1"/>
    <col min="2828" max="2828" width="10.421875" style="335" bestFit="1" customWidth="1"/>
    <col min="2829" max="2829" width="10.7109375" style="335" bestFit="1" customWidth="1"/>
    <col min="2830" max="2830" width="10.28125" style="335" bestFit="1" customWidth="1"/>
    <col min="2831" max="3072" width="9.140625" style="335" customWidth="1"/>
    <col min="3073" max="3073" width="57.421875" style="335" customWidth="1"/>
    <col min="3074" max="3074" width="11.7109375" style="335" customWidth="1"/>
    <col min="3075" max="3075" width="18.140625" style="335" customWidth="1"/>
    <col min="3076" max="3077" width="14.8515625" style="335" customWidth="1"/>
    <col min="3078" max="3078" width="15.28125" style="335" customWidth="1"/>
    <col min="3079" max="3079" width="15.00390625" style="335" customWidth="1"/>
    <col min="3080" max="3080" width="14.140625" style="335" customWidth="1"/>
    <col min="3081" max="3081" width="16.00390625" style="335" customWidth="1"/>
    <col min="3082" max="3082" width="17.140625" style="335" bestFit="1" customWidth="1"/>
    <col min="3083" max="3083" width="10.7109375" style="335" bestFit="1" customWidth="1"/>
    <col min="3084" max="3084" width="10.421875" style="335" bestFit="1" customWidth="1"/>
    <col min="3085" max="3085" width="10.7109375" style="335" bestFit="1" customWidth="1"/>
    <col min="3086" max="3086" width="10.28125" style="335" bestFit="1" customWidth="1"/>
    <col min="3087" max="3328" width="9.140625" style="335" customWidth="1"/>
    <col min="3329" max="3329" width="57.421875" style="335" customWidth="1"/>
    <col min="3330" max="3330" width="11.7109375" style="335" customWidth="1"/>
    <col min="3331" max="3331" width="18.140625" style="335" customWidth="1"/>
    <col min="3332" max="3333" width="14.8515625" style="335" customWidth="1"/>
    <col min="3334" max="3334" width="15.28125" style="335" customWidth="1"/>
    <col min="3335" max="3335" width="15.00390625" style="335" customWidth="1"/>
    <col min="3336" max="3336" width="14.140625" style="335" customWidth="1"/>
    <col min="3337" max="3337" width="16.00390625" style="335" customWidth="1"/>
    <col min="3338" max="3338" width="17.140625" style="335" bestFit="1" customWidth="1"/>
    <col min="3339" max="3339" width="10.7109375" style="335" bestFit="1" customWidth="1"/>
    <col min="3340" max="3340" width="10.421875" style="335" bestFit="1" customWidth="1"/>
    <col min="3341" max="3341" width="10.7109375" style="335" bestFit="1" customWidth="1"/>
    <col min="3342" max="3342" width="10.28125" style="335" bestFit="1" customWidth="1"/>
    <col min="3343" max="3584" width="9.140625" style="335" customWidth="1"/>
    <col min="3585" max="3585" width="57.421875" style="335" customWidth="1"/>
    <col min="3586" max="3586" width="11.7109375" style="335" customWidth="1"/>
    <col min="3587" max="3587" width="18.140625" style="335" customWidth="1"/>
    <col min="3588" max="3589" width="14.8515625" style="335" customWidth="1"/>
    <col min="3590" max="3590" width="15.28125" style="335" customWidth="1"/>
    <col min="3591" max="3591" width="15.00390625" style="335" customWidth="1"/>
    <col min="3592" max="3592" width="14.140625" style="335" customWidth="1"/>
    <col min="3593" max="3593" width="16.00390625" style="335" customWidth="1"/>
    <col min="3594" max="3594" width="17.140625" style="335" bestFit="1" customWidth="1"/>
    <col min="3595" max="3595" width="10.7109375" style="335" bestFit="1" customWidth="1"/>
    <col min="3596" max="3596" width="10.421875" style="335" bestFit="1" customWidth="1"/>
    <col min="3597" max="3597" width="10.7109375" style="335" bestFit="1" customWidth="1"/>
    <col min="3598" max="3598" width="10.28125" style="335" bestFit="1" customWidth="1"/>
    <col min="3599" max="3840" width="9.140625" style="335" customWidth="1"/>
    <col min="3841" max="3841" width="57.421875" style="335" customWidth="1"/>
    <col min="3842" max="3842" width="11.7109375" style="335" customWidth="1"/>
    <col min="3843" max="3843" width="18.140625" style="335" customWidth="1"/>
    <col min="3844" max="3845" width="14.8515625" style="335" customWidth="1"/>
    <col min="3846" max="3846" width="15.28125" style="335" customWidth="1"/>
    <col min="3847" max="3847" width="15.00390625" style="335" customWidth="1"/>
    <col min="3848" max="3848" width="14.140625" style="335" customWidth="1"/>
    <col min="3849" max="3849" width="16.00390625" style="335" customWidth="1"/>
    <col min="3850" max="3850" width="17.140625" style="335" bestFit="1" customWidth="1"/>
    <col min="3851" max="3851" width="10.7109375" style="335" bestFit="1" customWidth="1"/>
    <col min="3852" max="3852" width="10.421875" style="335" bestFit="1" customWidth="1"/>
    <col min="3853" max="3853" width="10.7109375" style="335" bestFit="1" customWidth="1"/>
    <col min="3854" max="3854" width="10.28125" style="335" bestFit="1" customWidth="1"/>
    <col min="3855" max="4096" width="9.140625" style="335" customWidth="1"/>
    <col min="4097" max="4097" width="57.421875" style="335" customWidth="1"/>
    <col min="4098" max="4098" width="11.7109375" style="335" customWidth="1"/>
    <col min="4099" max="4099" width="18.140625" style="335" customWidth="1"/>
    <col min="4100" max="4101" width="14.8515625" style="335" customWidth="1"/>
    <col min="4102" max="4102" width="15.28125" style="335" customWidth="1"/>
    <col min="4103" max="4103" width="15.00390625" style="335" customWidth="1"/>
    <col min="4104" max="4104" width="14.140625" style="335" customWidth="1"/>
    <col min="4105" max="4105" width="16.00390625" style="335" customWidth="1"/>
    <col min="4106" max="4106" width="17.140625" style="335" bestFit="1" customWidth="1"/>
    <col min="4107" max="4107" width="10.7109375" style="335" bestFit="1" customWidth="1"/>
    <col min="4108" max="4108" width="10.421875" style="335" bestFit="1" customWidth="1"/>
    <col min="4109" max="4109" width="10.7109375" style="335" bestFit="1" customWidth="1"/>
    <col min="4110" max="4110" width="10.28125" style="335" bestFit="1" customWidth="1"/>
    <col min="4111" max="4352" width="9.140625" style="335" customWidth="1"/>
    <col min="4353" max="4353" width="57.421875" style="335" customWidth="1"/>
    <col min="4354" max="4354" width="11.7109375" style="335" customWidth="1"/>
    <col min="4355" max="4355" width="18.140625" style="335" customWidth="1"/>
    <col min="4356" max="4357" width="14.8515625" style="335" customWidth="1"/>
    <col min="4358" max="4358" width="15.28125" style="335" customWidth="1"/>
    <col min="4359" max="4359" width="15.00390625" style="335" customWidth="1"/>
    <col min="4360" max="4360" width="14.140625" style="335" customWidth="1"/>
    <col min="4361" max="4361" width="16.00390625" style="335" customWidth="1"/>
    <col min="4362" max="4362" width="17.140625" style="335" bestFit="1" customWidth="1"/>
    <col min="4363" max="4363" width="10.7109375" style="335" bestFit="1" customWidth="1"/>
    <col min="4364" max="4364" width="10.421875" style="335" bestFit="1" customWidth="1"/>
    <col min="4365" max="4365" width="10.7109375" style="335" bestFit="1" customWidth="1"/>
    <col min="4366" max="4366" width="10.28125" style="335" bestFit="1" customWidth="1"/>
    <col min="4367" max="4608" width="9.140625" style="335" customWidth="1"/>
    <col min="4609" max="4609" width="57.421875" style="335" customWidth="1"/>
    <col min="4610" max="4610" width="11.7109375" style="335" customWidth="1"/>
    <col min="4611" max="4611" width="18.140625" style="335" customWidth="1"/>
    <col min="4612" max="4613" width="14.8515625" style="335" customWidth="1"/>
    <col min="4614" max="4614" width="15.28125" style="335" customWidth="1"/>
    <col min="4615" max="4615" width="15.00390625" style="335" customWidth="1"/>
    <col min="4616" max="4616" width="14.140625" style="335" customWidth="1"/>
    <col min="4617" max="4617" width="16.00390625" style="335" customWidth="1"/>
    <col min="4618" max="4618" width="17.140625" style="335" bestFit="1" customWidth="1"/>
    <col min="4619" max="4619" width="10.7109375" style="335" bestFit="1" customWidth="1"/>
    <col min="4620" max="4620" width="10.421875" style="335" bestFit="1" customWidth="1"/>
    <col min="4621" max="4621" width="10.7109375" style="335" bestFit="1" customWidth="1"/>
    <col min="4622" max="4622" width="10.28125" style="335" bestFit="1" customWidth="1"/>
    <col min="4623" max="4864" width="9.140625" style="335" customWidth="1"/>
    <col min="4865" max="4865" width="57.421875" style="335" customWidth="1"/>
    <col min="4866" max="4866" width="11.7109375" style="335" customWidth="1"/>
    <col min="4867" max="4867" width="18.140625" style="335" customWidth="1"/>
    <col min="4868" max="4869" width="14.8515625" style="335" customWidth="1"/>
    <col min="4870" max="4870" width="15.28125" style="335" customWidth="1"/>
    <col min="4871" max="4871" width="15.00390625" style="335" customWidth="1"/>
    <col min="4872" max="4872" width="14.140625" style="335" customWidth="1"/>
    <col min="4873" max="4873" width="16.00390625" style="335" customWidth="1"/>
    <col min="4874" max="4874" width="17.140625" style="335" bestFit="1" customWidth="1"/>
    <col min="4875" max="4875" width="10.7109375" style="335" bestFit="1" customWidth="1"/>
    <col min="4876" max="4876" width="10.421875" style="335" bestFit="1" customWidth="1"/>
    <col min="4877" max="4877" width="10.7109375" style="335" bestFit="1" customWidth="1"/>
    <col min="4878" max="4878" width="10.28125" style="335" bestFit="1" customWidth="1"/>
    <col min="4879" max="5120" width="9.140625" style="335" customWidth="1"/>
    <col min="5121" max="5121" width="57.421875" style="335" customWidth="1"/>
    <col min="5122" max="5122" width="11.7109375" style="335" customWidth="1"/>
    <col min="5123" max="5123" width="18.140625" style="335" customWidth="1"/>
    <col min="5124" max="5125" width="14.8515625" style="335" customWidth="1"/>
    <col min="5126" max="5126" width="15.28125" style="335" customWidth="1"/>
    <col min="5127" max="5127" width="15.00390625" style="335" customWidth="1"/>
    <col min="5128" max="5128" width="14.140625" style="335" customWidth="1"/>
    <col min="5129" max="5129" width="16.00390625" style="335" customWidth="1"/>
    <col min="5130" max="5130" width="17.140625" style="335" bestFit="1" customWidth="1"/>
    <col min="5131" max="5131" width="10.7109375" style="335" bestFit="1" customWidth="1"/>
    <col min="5132" max="5132" width="10.421875" style="335" bestFit="1" customWidth="1"/>
    <col min="5133" max="5133" width="10.7109375" style="335" bestFit="1" customWidth="1"/>
    <col min="5134" max="5134" width="10.28125" style="335" bestFit="1" customWidth="1"/>
    <col min="5135" max="5376" width="9.140625" style="335" customWidth="1"/>
    <col min="5377" max="5377" width="57.421875" style="335" customWidth="1"/>
    <col min="5378" max="5378" width="11.7109375" style="335" customWidth="1"/>
    <col min="5379" max="5379" width="18.140625" style="335" customWidth="1"/>
    <col min="5380" max="5381" width="14.8515625" style="335" customWidth="1"/>
    <col min="5382" max="5382" width="15.28125" style="335" customWidth="1"/>
    <col min="5383" max="5383" width="15.00390625" style="335" customWidth="1"/>
    <col min="5384" max="5384" width="14.140625" style="335" customWidth="1"/>
    <col min="5385" max="5385" width="16.00390625" style="335" customWidth="1"/>
    <col min="5386" max="5386" width="17.140625" style="335" bestFit="1" customWidth="1"/>
    <col min="5387" max="5387" width="10.7109375" style="335" bestFit="1" customWidth="1"/>
    <col min="5388" max="5388" width="10.421875" style="335" bestFit="1" customWidth="1"/>
    <col min="5389" max="5389" width="10.7109375" style="335" bestFit="1" customWidth="1"/>
    <col min="5390" max="5390" width="10.28125" style="335" bestFit="1" customWidth="1"/>
    <col min="5391" max="5632" width="9.140625" style="335" customWidth="1"/>
    <col min="5633" max="5633" width="57.421875" style="335" customWidth="1"/>
    <col min="5634" max="5634" width="11.7109375" style="335" customWidth="1"/>
    <col min="5635" max="5635" width="18.140625" style="335" customWidth="1"/>
    <col min="5636" max="5637" width="14.8515625" style="335" customWidth="1"/>
    <col min="5638" max="5638" width="15.28125" style="335" customWidth="1"/>
    <col min="5639" max="5639" width="15.00390625" style="335" customWidth="1"/>
    <col min="5640" max="5640" width="14.140625" style="335" customWidth="1"/>
    <col min="5641" max="5641" width="16.00390625" style="335" customWidth="1"/>
    <col min="5642" max="5642" width="17.140625" style="335" bestFit="1" customWidth="1"/>
    <col min="5643" max="5643" width="10.7109375" style="335" bestFit="1" customWidth="1"/>
    <col min="5644" max="5644" width="10.421875" style="335" bestFit="1" customWidth="1"/>
    <col min="5645" max="5645" width="10.7109375" style="335" bestFit="1" customWidth="1"/>
    <col min="5646" max="5646" width="10.28125" style="335" bestFit="1" customWidth="1"/>
    <col min="5647" max="5888" width="9.140625" style="335" customWidth="1"/>
    <col min="5889" max="5889" width="57.421875" style="335" customWidth="1"/>
    <col min="5890" max="5890" width="11.7109375" style="335" customWidth="1"/>
    <col min="5891" max="5891" width="18.140625" style="335" customWidth="1"/>
    <col min="5892" max="5893" width="14.8515625" style="335" customWidth="1"/>
    <col min="5894" max="5894" width="15.28125" style="335" customWidth="1"/>
    <col min="5895" max="5895" width="15.00390625" style="335" customWidth="1"/>
    <col min="5896" max="5896" width="14.140625" style="335" customWidth="1"/>
    <col min="5897" max="5897" width="16.00390625" style="335" customWidth="1"/>
    <col min="5898" max="5898" width="17.140625" style="335" bestFit="1" customWidth="1"/>
    <col min="5899" max="5899" width="10.7109375" style="335" bestFit="1" customWidth="1"/>
    <col min="5900" max="5900" width="10.421875" style="335" bestFit="1" customWidth="1"/>
    <col min="5901" max="5901" width="10.7109375" style="335" bestFit="1" customWidth="1"/>
    <col min="5902" max="5902" width="10.28125" style="335" bestFit="1" customWidth="1"/>
    <col min="5903" max="6144" width="9.140625" style="335" customWidth="1"/>
    <col min="6145" max="6145" width="57.421875" style="335" customWidth="1"/>
    <col min="6146" max="6146" width="11.7109375" style="335" customWidth="1"/>
    <col min="6147" max="6147" width="18.140625" style="335" customWidth="1"/>
    <col min="6148" max="6149" width="14.8515625" style="335" customWidth="1"/>
    <col min="6150" max="6150" width="15.28125" style="335" customWidth="1"/>
    <col min="6151" max="6151" width="15.00390625" style="335" customWidth="1"/>
    <col min="6152" max="6152" width="14.140625" style="335" customWidth="1"/>
    <col min="6153" max="6153" width="16.00390625" style="335" customWidth="1"/>
    <col min="6154" max="6154" width="17.140625" style="335" bestFit="1" customWidth="1"/>
    <col min="6155" max="6155" width="10.7109375" style="335" bestFit="1" customWidth="1"/>
    <col min="6156" max="6156" width="10.421875" style="335" bestFit="1" customWidth="1"/>
    <col min="6157" max="6157" width="10.7109375" style="335" bestFit="1" customWidth="1"/>
    <col min="6158" max="6158" width="10.28125" style="335" bestFit="1" customWidth="1"/>
    <col min="6159" max="6400" width="9.140625" style="335" customWidth="1"/>
    <col min="6401" max="6401" width="57.421875" style="335" customWidth="1"/>
    <col min="6402" max="6402" width="11.7109375" style="335" customWidth="1"/>
    <col min="6403" max="6403" width="18.140625" style="335" customWidth="1"/>
    <col min="6404" max="6405" width="14.8515625" style="335" customWidth="1"/>
    <col min="6406" max="6406" width="15.28125" style="335" customWidth="1"/>
    <col min="6407" max="6407" width="15.00390625" style="335" customWidth="1"/>
    <col min="6408" max="6408" width="14.140625" style="335" customWidth="1"/>
    <col min="6409" max="6409" width="16.00390625" style="335" customWidth="1"/>
    <col min="6410" max="6410" width="17.140625" style="335" bestFit="1" customWidth="1"/>
    <col min="6411" max="6411" width="10.7109375" style="335" bestFit="1" customWidth="1"/>
    <col min="6412" max="6412" width="10.421875" style="335" bestFit="1" customWidth="1"/>
    <col min="6413" max="6413" width="10.7109375" style="335" bestFit="1" customWidth="1"/>
    <col min="6414" max="6414" width="10.28125" style="335" bestFit="1" customWidth="1"/>
    <col min="6415" max="6656" width="9.140625" style="335" customWidth="1"/>
    <col min="6657" max="6657" width="57.421875" style="335" customWidth="1"/>
    <col min="6658" max="6658" width="11.7109375" style="335" customWidth="1"/>
    <col min="6659" max="6659" width="18.140625" style="335" customWidth="1"/>
    <col min="6660" max="6661" width="14.8515625" style="335" customWidth="1"/>
    <col min="6662" max="6662" width="15.28125" style="335" customWidth="1"/>
    <col min="6663" max="6663" width="15.00390625" style="335" customWidth="1"/>
    <col min="6664" max="6664" width="14.140625" style="335" customWidth="1"/>
    <col min="6665" max="6665" width="16.00390625" style="335" customWidth="1"/>
    <col min="6666" max="6666" width="17.140625" style="335" bestFit="1" customWidth="1"/>
    <col min="6667" max="6667" width="10.7109375" style="335" bestFit="1" customWidth="1"/>
    <col min="6668" max="6668" width="10.421875" style="335" bestFit="1" customWidth="1"/>
    <col min="6669" max="6669" width="10.7109375" style="335" bestFit="1" customWidth="1"/>
    <col min="6670" max="6670" width="10.28125" style="335" bestFit="1" customWidth="1"/>
    <col min="6671" max="6912" width="9.140625" style="335" customWidth="1"/>
    <col min="6913" max="6913" width="57.421875" style="335" customWidth="1"/>
    <col min="6914" max="6914" width="11.7109375" style="335" customWidth="1"/>
    <col min="6915" max="6915" width="18.140625" style="335" customWidth="1"/>
    <col min="6916" max="6917" width="14.8515625" style="335" customWidth="1"/>
    <col min="6918" max="6918" width="15.28125" style="335" customWidth="1"/>
    <col min="6919" max="6919" width="15.00390625" style="335" customWidth="1"/>
    <col min="6920" max="6920" width="14.140625" style="335" customWidth="1"/>
    <col min="6921" max="6921" width="16.00390625" style="335" customWidth="1"/>
    <col min="6922" max="6922" width="17.140625" style="335" bestFit="1" customWidth="1"/>
    <col min="6923" max="6923" width="10.7109375" style="335" bestFit="1" customWidth="1"/>
    <col min="6924" max="6924" width="10.421875" style="335" bestFit="1" customWidth="1"/>
    <col min="6925" max="6925" width="10.7109375" style="335" bestFit="1" customWidth="1"/>
    <col min="6926" max="6926" width="10.28125" style="335" bestFit="1" customWidth="1"/>
    <col min="6927" max="7168" width="9.140625" style="335" customWidth="1"/>
    <col min="7169" max="7169" width="57.421875" style="335" customWidth="1"/>
    <col min="7170" max="7170" width="11.7109375" style="335" customWidth="1"/>
    <col min="7171" max="7171" width="18.140625" style="335" customWidth="1"/>
    <col min="7172" max="7173" width="14.8515625" style="335" customWidth="1"/>
    <col min="7174" max="7174" width="15.28125" style="335" customWidth="1"/>
    <col min="7175" max="7175" width="15.00390625" style="335" customWidth="1"/>
    <col min="7176" max="7176" width="14.140625" style="335" customWidth="1"/>
    <col min="7177" max="7177" width="16.00390625" style="335" customWidth="1"/>
    <col min="7178" max="7178" width="17.140625" style="335" bestFit="1" customWidth="1"/>
    <col min="7179" max="7179" width="10.7109375" style="335" bestFit="1" customWidth="1"/>
    <col min="7180" max="7180" width="10.421875" style="335" bestFit="1" customWidth="1"/>
    <col min="7181" max="7181" width="10.7109375" style="335" bestFit="1" customWidth="1"/>
    <col min="7182" max="7182" width="10.28125" style="335" bestFit="1" customWidth="1"/>
    <col min="7183" max="7424" width="9.140625" style="335" customWidth="1"/>
    <col min="7425" max="7425" width="57.421875" style="335" customWidth="1"/>
    <col min="7426" max="7426" width="11.7109375" style="335" customWidth="1"/>
    <col min="7427" max="7427" width="18.140625" style="335" customWidth="1"/>
    <col min="7428" max="7429" width="14.8515625" style="335" customWidth="1"/>
    <col min="7430" max="7430" width="15.28125" style="335" customWidth="1"/>
    <col min="7431" max="7431" width="15.00390625" style="335" customWidth="1"/>
    <col min="7432" max="7432" width="14.140625" style="335" customWidth="1"/>
    <col min="7433" max="7433" width="16.00390625" style="335" customWidth="1"/>
    <col min="7434" max="7434" width="17.140625" style="335" bestFit="1" customWidth="1"/>
    <col min="7435" max="7435" width="10.7109375" style="335" bestFit="1" customWidth="1"/>
    <col min="7436" max="7436" width="10.421875" style="335" bestFit="1" customWidth="1"/>
    <col min="7437" max="7437" width="10.7109375" style="335" bestFit="1" customWidth="1"/>
    <col min="7438" max="7438" width="10.28125" style="335" bestFit="1" customWidth="1"/>
    <col min="7439" max="7680" width="9.140625" style="335" customWidth="1"/>
    <col min="7681" max="7681" width="57.421875" style="335" customWidth="1"/>
    <col min="7682" max="7682" width="11.7109375" style="335" customWidth="1"/>
    <col min="7683" max="7683" width="18.140625" style="335" customWidth="1"/>
    <col min="7684" max="7685" width="14.8515625" style="335" customWidth="1"/>
    <col min="7686" max="7686" width="15.28125" style="335" customWidth="1"/>
    <col min="7687" max="7687" width="15.00390625" style="335" customWidth="1"/>
    <col min="7688" max="7688" width="14.140625" style="335" customWidth="1"/>
    <col min="7689" max="7689" width="16.00390625" style="335" customWidth="1"/>
    <col min="7690" max="7690" width="17.140625" style="335" bestFit="1" customWidth="1"/>
    <col min="7691" max="7691" width="10.7109375" style="335" bestFit="1" customWidth="1"/>
    <col min="7692" max="7692" width="10.421875" style="335" bestFit="1" customWidth="1"/>
    <col min="7693" max="7693" width="10.7109375" style="335" bestFit="1" customWidth="1"/>
    <col min="7694" max="7694" width="10.28125" style="335" bestFit="1" customWidth="1"/>
    <col min="7695" max="7936" width="9.140625" style="335" customWidth="1"/>
    <col min="7937" max="7937" width="57.421875" style="335" customWidth="1"/>
    <col min="7938" max="7938" width="11.7109375" style="335" customWidth="1"/>
    <col min="7939" max="7939" width="18.140625" style="335" customWidth="1"/>
    <col min="7940" max="7941" width="14.8515625" style="335" customWidth="1"/>
    <col min="7942" max="7942" width="15.28125" style="335" customWidth="1"/>
    <col min="7943" max="7943" width="15.00390625" style="335" customWidth="1"/>
    <col min="7944" max="7944" width="14.140625" style="335" customWidth="1"/>
    <col min="7945" max="7945" width="16.00390625" style="335" customWidth="1"/>
    <col min="7946" max="7946" width="17.140625" style="335" bestFit="1" customWidth="1"/>
    <col min="7947" max="7947" width="10.7109375" style="335" bestFit="1" customWidth="1"/>
    <col min="7948" max="7948" width="10.421875" style="335" bestFit="1" customWidth="1"/>
    <col min="7949" max="7949" width="10.7109375" style="335" bestFit="1" customWidth="1"/>
    <col min="7950" max="7950" width="10.28125" style="335" bestFit="1" customWidth="1"/>
    <col min="7951" max="8192" width="9.140625" style="335" customWidth="1"/>
    <col min="8193" max="8193" width="57.421875" style="335" customWidth="1"/>
    <col min="8194" max="8194" width="11.7109375" style="335" customWidth="1"/>
    <col min="8195" max="8195" width="18.140625" style="335" customWidth="1"/>
    <col min="8196" max="8197" width="14.8515625" style="335" customWidth="1"/>
    <col min="8198" max="8198" width="15.28125" style="335" customWidth="1"/>
    <col min="8199" max="8199" width="15.00390625" style="335" customWidth="1"/>
    <col min="8200" max="8200" width="14.140625" style="335" customWidth="1"/>
    <col min="8201" max="8201" width="16.00390625" style="335" customWidth="1"/>
    <col min="8202" max="8202" width="17.140625" style="335" bestFit="1" customWidth="1"/>
    <col min="8203" max="8203" width="10.7109375" style="335" bestFit="1" customWidth="1"/>
    <col min="8204" max="8204" width="10.421875" style="335" bestFit="1" customWidth="1"/>
    <col min="8205" max="8205" width="10.7109375" style="335" bestFit="1" customWidth="1"/>
    <col min="8206" max="8206" width="10.28125" style="335" bestFit="1" customWidth="1"/>
    <col min="8207" max="8448" width="9.140625" style="335" customWidth="1"/>
    <col min="8449" max="8449" width="57.421875" style="335" customWidth="1"/>
    <col min="8450" max="8450" width="11.7109375" style="335" customWidth="1"/>
    <col min="8451" max="8451" width="18.140625" style="335" customWidth="1"/>
    <col min="8452" max="8453" width="14.8515625" style="335" customWidth="1"/>
    <col min="8454" max="8454" width="15.28125" style="335" customWidth="1"/>
    <col min="8455" max="8455" width="15.00390625" style="335" customWidth="1"/>
    <col min="8456" max="8456" width="14.140625" style="335" customWidth="1"/>
    <col min="8457" max="8457" width="16.00390625" style="335" customWidth="1"/>
    <col min="8458" max="8458" width="17.140625" style="335" bestFit="1" customWidth="1"/>
    <col min="8459" max="8459" width="10.7109375" style="335" bestFit="1" customWidth="1"/>
    <col min="8460" max="8460" width="10.421875" style="335" bestFit="1" customWidth="1"/>
    <col min="8461" max="8461" width="10.7109375" style="335" bestFit="1" customWidth="1"/>
    <col min="8462" max="8462" width="10.28125" style="335" bestFit="1" customWidth="1"/>
    <col min="8463" max="8704" width="9.140625" style="335" customWidth="1"/>
    <col min="8705" max="8705" width="57.421875" style="335" customWidth="1"/>
    <col min="8706" max="8706" width="11.7109375" style="335" customWidth="1"/>
    <col min="8707" max="8707" width="18.140625" style="335" customWidth="1"/>
    <col min="8708" max="8709" width="14.8515625" style="335" customWidth="1"/>
    <col min="8710" max="8710" width="15.28125" style="335" customWidth="1"/>
    <col min="8711" max="8711" width="15.00390625" style="335" customWidth="1"/>
    <col min="8712" max="8712" width="14.140625" style="335" customWidth="1"/>
    <col min="8713" max="8713" width="16.00390625" style="335" customWidth="1"/>
    <col min="8714" max="8714" width="17.140625" style="335" bestFit="1" customWidth="1"/>
    <col min="8715" max="8715" width="10.7109375" style="335" bestFit="1" customWidth="1"/>
    <col min="8716" max="8716" width="10.421875" style="335" bestFit="1" customWidth="1"/>
    <col min="8717" max="8717" width="10.7109375" style="335" bestFit="1" customWidth="1"/>
    <col min="8718" max="8718" width="10.28125" style="335" bestFit="1" customWidth="1"/>
    <col min="8719" max="8960" width="9.140625" style="335" customWidth="1"/>
    <col min="8961" max="8961" width="57.421875" style="335" customWidth="1"/>
    <col min="8962" max="8962" width="11.7109375" style="335" customWidth="1"/>
    <col min="8963" max="8963" width="18.140625" style="335" customWidth="1"/>
    <col min="8964" max="8965" width="14.8515625" style="335" customWidth="1"/>
    <col min="8966" max="8966" width="15.28125" style="335" customWidth="1"/>
    <col min="8967" max="8967" width="15.00390625" style="335" customWidth="1"/>
    <col min="8968" max="8968" width="14.140625" style="335" customWidth="1"/>
    <col min="8969" max="8969" width="16.00390625" style="335" customWidth="1"/>
    <col min="8970" max="8970" width="17.140625" style="335" bestFit="1" customWidth="1"/>
    <col min="8971" max="8971" width="10.7109375" style="335" bestFit="1" customWidth="1"/>
    <col min="8972" max="8972" width="10.421875" style="335" bestFit="1" customWidth="1"/>
    <col min="8973" max="8973" width="10.7109375" style="335" bestFit="1" customWidth="1"/>
    <col min="8974" max="8974" width="10.28125" style="335" bestFit="1" customWidth="1"/>
    <col min="8975" max="9216" width="9.140625" style="335" customWidth="1"/>
    <col min="9217" max="9217" width="57.421875" style="335" customWidth="1"/>
    <col min="9218" max="9218" width="11.7109375" style="335" customWidth="1"/>
    <col min="9219" max="9219" width="18.140625" style="335" customWidth="1"/>
    <col min="9220" max="9221" width="14.8515625" style="335" customWidth="1"/>
    <col min="9222" max="9222" width="15.28125" style="335" customWidth="1"/>
    <col min="9223" max="9223" width="15.00390625" style="335" customWidth="1"/>
    <col min="9224" max="9224" width="14.140625" style="335" customWidth="1"/>
    <col min="9225" max="9225" width="16.00390625" style="335" customWidth="1"/>
    <col min="9226" max="9226" width="17.140625" style="335" bestFit="1" customWidth="1"/>
    <col min="9227" max="9227" width="10.7109375" style="335" bestFit="1" customWidth="1"/>
    <col min="9228" max="9228" width="10.421875" style="335" bestFit="1" customWidth="1"/>
    <col min="9229" max="9229" width="10.7109375" style="335" bestFit="1" customWidth="1"/>
    <col min="9230" max="9230" width="10.28125" style="335" bestFit="1" customWidth="1"/>
    <col min="9231" max="9472" width="9.140625" style="335" customWidth="1"/>
    <col min="9473" max="9473" width="57.421875" style="335" customWidth="1"/>
    <col min="9474" max="9474" width="11.7109375" style="335" customWidth="1"/>
    <col min="9475" max="9475" width="18.140625" style="335" customWidth="1"/>
    <col min="9476" max="9477" width="14.8515625" style="335" customWidth="1"/>
    <col min="9478" max="9478" width="15.28125" style="335" customWidth="1"/>
    <col min="9479" max="9479" width="15.00390625" style="335" customWidth="1"/>
    <col min="9480" max="9480" width="14.140625" style="335" customWidth="1"/>
    <col min="9481" max="9481" width="16.00390625" style="335" customWidth="1"/>
    <col min="9482" max="9482" width="17.140625" style="335" bestFit="1" customWidth="1"/>
    <col min="9483" max="9483" width="10.7109375" style="335" bestFit="1" customWidth="1"/>
    <col min="9484" max="9484" width="10.421875" style="335" bestFit="1" customWidth="1"/>
    <col min="9485" max="9485" width="10.7109375" style="335" bestFit="1" customWidth="1"/>
    <col min="9486" max="9486" width="10.28125" style="335" bestFit="1" customWidth="1"/>
    <col min="9487" max="9728" width="9.140625" style="335" customWidth="1"/>
    <col min="9729" max="9729" width="57.421875" style="335" customWidth="1"/>
    <col min="9730" max="9730" width="11.7109375" style="335" customWidth="1"/>
    <col min="9731" max="9731" width="18.140625" style="335" customWidth="1"/>
    <col min="9732" max="9733" width="14.8515625" style="335" customWidth="1"/>
    <col min="9734" max="9734" width="15.28125" style="335" customWidth="1"/>
    <col min="9735" max="9735" width="15.00390625" style="335" customWidth="1"/>
    <col min="9736" max="9736" width="14.140625" style="335" customWidth="1"/>
    <col min="9737" max="9737" width="16.00390625" style="335" customWidth="1"/>
    <col min="9738" max="9738" width="17.140625" style="335" bestFit="1" customWidth="1"/>
    <col min="9739" max="9739" width="10.7109375" style="335" bestFit="1" customWidth="1"/>
    <col min="9740" max="9740" width="10.421875" style="335" bestFit="1" customWidth="1"/>
    <col min="9741" max="9741" width="10.7109375" style="335" bestFit="1" customWidth="1"/>
    <col min="9742" max="9742" width="10.28125" style="335" bestFit="1" customWidth="1"/>
    <col min="9743" max="9984" width="9.140625" style="335" customWidth="1"/>
    <col min="9985" max="9985" width="57.421875" style="335" customWidth="1"/>
    <col min="9986" max="9986" width="11.7109375" style="335" customWidth="1"/>
    <col min="9987" max="9987" width="18.140625" style="335" customWidth="1"/>
    <col min="9988" max="9989" width="14.8515625" style="335" customWidth="1"/>
    <col min="9990" max="9990" width="15.28125" style="335" customWidth="1"/>
    <col min="9991" max="9991" width="15.00390625" style="335" customWidth="1"/>
    <col min="9992" max="9992" width="14.140625" style="335" customWidth="1"/>
    <col min="9993" max="9993" width="16.00390625" style="335" customWidth="1"/>
    <col min="9994" max="9994" width="17.140625" style="335" bestFit="1" customWidth="1"/>
    <col min="9995" max="9995" width="10.7109375" style="335" bestFit="1" customWidth="1"/>
    <col min="9996" max="9996" width="10.421875" style="335" bestFit="1" customWidth="1"/>
    <col min="9997" max="9997" width="10.7109375" style="335" bestFit="1" customWidth="1"/>
    <col min="9998" max="9998" width="10.28125" style="335" bestFit="1" customWidth="1"/>
    <col min="9999" max="10240" width="9.140625" style="335" customWidth="1"/>
    <col min="10241" max="10241" width="57.421875" style="335" customWidth="1"/>
    <col min="10242" max="10242" width="11.7109375" style="335" customWidth="1"/>
    <col min="10243" max="10243" width="18.140625" style="335" customWidth="1"/>
    <col min="10244" max="10245" width="14.8515625" style="335" customWidth="1"/>
    <col min="10246" max="10246" width="15.28125" style="335" customWidth="1"/>
    <col min="10247" max="10247" width="15.00390625" style="335" customWidth="1"/>
    <col min="10248" max="10248" width="14.140625" style="335" customWidth="1"/>
    <col min="10249" max="10249" width="16.00390625" style="335" customWidth="1"/>
    <col min="10250" max="10250" width="17.140625" style="335" bestFit="1" customWidth="1"/>
    <col min="10251" max="10251" width="10.7109375" style="335" bestFit="1" customWidth="1"/>
    <col min="10252" max="10252" width="10.421875" style="335" bestFit="1" customWidth="1"/>
    <col min="10253" max="10253" width="10.7109375" style="335" bestFit="1" customWidth="1"/>
    <col min="10254" max="10254" width="10.28125" style="335" bestFit="1" customWidth="1"/>
    <col min="10255" max="10496" width="9.140625" style="335" customWidth="1"/>
    <col min="10497" max="10497" width="57.421875" style="335" customWidth="1"/>
    <col min="10498" max="10498" width="11.7109375" style="335" customWidth="1"/>
    <col min="10499" max="10499" width="18.140625" style="335" customWidth="1"/>
    <col min="10500" max="10501" width="14.8515625" style="335" customWidth="1"/>
    <col min="10502" max="10502" width="15.28125" style="335" customWidth="1"/>
    <col min="10503" max="10503" width="15.00390625" style="335" customWidth="1"/>
    <col min="10504" max="10504" width="14.140625" style="335" customWidth="1"/>
    <col min="10505" max="10505" width="16.00390625" style="335" customWidth="1"/>
    <col min="10506" max="10506" width="17.140625" style="335" bestFit="1" customWidth="1"/>
    <col min="10507" max="10507" width="10.7109375" style="335" bestFit="1" customWidth="1"/>
    <col min="10508" max="10508" width="10.421875" style="335" bestFit="1" customWidth="1"/>
    <col min="10509" max="10509" width="10.7109375" style="335" bestFit="1" customWidth="1"/>
    <col min="10510" max="10510" width="10.28125" style="335" bestFit="1" customWidth="1"/>
    <col min="10511" max="10752" width="9.140625" style="335" customWidth="1"/>
    <col min="10753" max="10753" width="57.421875" style="335" customWidth="1"/>
    <col min="10754" max="10754" width="11.7109375" style="335" customWidth="1"/>
    <col min="10755" max="10755" width="18.140625" style="335" customWidth="1"/>
    <col min="10756" max="10757" width="14.8515625" style="335" customWidth="1"/>
    <col min="10758" max="10758" width="15.28125" style="335" customWidth="1"/>
    <col min="10759" max="10759" width="15.00390625" style="335" customWidth="1"/>
    <col min="10760" max="10760" width="14.140625" style="335" customWidth="1"/>
    <col min="10761" max="10761" width="16.00390625" style="335" customWidth="1"/>
    <col min="10762" max="10762" width="17.140625" style="335" bestFit="1" customWidth="1"/>
    <col min="10763" max="10763" width="10.7109375" style="335" bestFit="1" customWidth="1"/>
    <col min="10764" max="10764" width="10.421875" style="335" bestFit="1" customWidth="1"/>
    <col min="10765" max="10765" width="10.7109375" style="335" bestFit="1" customWidth="1"/>
    <col min="10766" max="10766" width="10.28125" style="335" bestFit="1" customWidth="1"/>
    <col min="10767" max="11008" width="9.140625" style="335" customWidth="1"/>
    <col min="11009" max="11009" width="57.421875" style="335" customWidth="1"/>
    <col min="11010" max="11010" width="11.7109375" style="335" customWidth="1"/>
    <col min="11011" max="11011" width="18.140625" style="335" customWidth="1"/>
    <col min="11012" max="11013" width="14.8515625" style="335" customWidth="1"/>
    <col min="11014" max="11014" width="15.28125" style="335" customWidth="1"/>
    <col min="11015" max="11015" width="15.00390625" style="335" customWidth="1"/>
    <col min="11016" max="11016" width="14.140625" style="335" customWidth="1"/>
    <col min="11017" max="11017" width="16.00390625" style="335" customWidth="1"/>
    <col min="11018" max="11018" width="17.140625" style="335" bestFit="1" customWidth="1"/>
    <col min="11019" max="11019" width="10.7109375" style="335" bestFit="1" customWidth="1"/>
    <col min="11020" max="11020" width="10.421875" style="335" bestFit="1" customWidth="1"/>
    <col min="11021" max="11021" width="10.7109375" style="335" bestFit="1" customWidth="1"/>
    <col min="11022" max="11022" width="10.28125" style="335" bestFit="1" customWidth="1"/>
    <col min="11023" max="11264" width="9.140625" style="335" customWidth="1"/>
    <col min="11265" max="11265" width="57.421875" style="335" customWidth="1"/>
    <col min="11266" max="11266" width="11.7109375" style="335" customWidth="1"/>
    <col min="11267" max="11267" width="18.140625" style="335" customWidth="1"/>
    <col min="11268" max="11269" width="14.8515625" style="335" customWidth="1"/>
    <col min="11270" max="11270" width="15.28125" style="335" customWidth="1"/>
    <col min="11271" max="11271" width="15.00390625" style="335" customWidth="1"/>
    <col min="11272" max="11272" width="14.140625" style="335" customWidth="1"/>
    <col min="11273" max="11273" width="16.00390625" style="335" customWidth="1"/>
    <col min="11274" max="11274" width="17.140625" style="335" bestFit="1" customWidth="1"/>
    <col min="11275" max="11275" width="10.7109375" style="335" bestFit="1" customWidth="1"/>
    <col min="11276" max="11276" width="10.421875" style="335" bestFit="1" customWidth="1"/>
    <col min="11277" max="11277" width="10.7109375" style="335" bestFit="1" customWidth="1"/>
    <col min="11278" max="11278" width="10.28125" style="335" bestFit="1" customWidth="1"/>
    <col min="11279" max="11520" width="9.140625" style="335" customWidth="1"/>
    <col min="11521" max="11521" width="57.421875" style="335" customWidth="1"/>
    <col min="11522" max="11522" width="11.7109375" style="335" customWidth="1"/>
    <col min="11523" max="11523" width="18.140625" style="335" customWidth="1"/>
    <col min="11524" max="11525" width="14.8515625" style="335" customWidth="1"/>
    <col min="11526" max="11526" width="15.28125" style="335" customWidth="1"/>
    <col min="11527" max="11527" width="15.00390625" style="335" customWidth="1"/>
    <col min="11528" max="11528" width="14.140625" style="335" customWidth="1"/>
    <col min="11529" max="11529" width="16.00390625" style="335" customWidth="1"/>
    <col min="11530" max="11530" width="17.140625" style="335" bestFit="1" customWidth="1"/>
    <col min="11531" max="11531" width="10.7109375" style="335" bestFit="1" customWidth="1"/>
    <col min="11532" max="11532" width="10.421875" style="335" bestFit="1" customWidth="1"/>
    <col min="11533" max="11533" width="10.7109375" style="335" bestFit="1" customWidth="1"/>
    <col min="11534" max="11534" width="10.28125" style="335" bestFit="1" customWidth="1"/>
    <col min="11535" max="11776" width="9.140625" style="335" customWidth="1"/>
    <col min="11777" max="11777" width="57.421875" style="335" customWidth="1"/>
    <col min="11778" max="11778" width="11.7109375" style="335" customWidth="1"/>
    <col min="11779" max="11779" width="18.140625" style="335" customWidth="1"/>
    <col min="11780" max="11781" width="14.8515625" style="335" customWidth="1"/>
    <col min="11782" max="11782" width="15.28125" style="335" customWidth="1"/>
    <col min="11783" max="11783" width="15.00390625" style="335" customWidth="1"/>
    <col min="11784" max="11784" width="14.140625" style="335" customWidth="1"/>
    <col min="11785" max="11785" width="16.00390625" style="335" customWidth="1"/>
    <col min="11786" max="11786" width="17.140625" style="335" bestFit="1" customWidth="1"/>
    <col min="11787" max="11787" width="10.7109375" style="335" bestFit="1" customWidth="1"/>
    <col min="11788" max="11788" width="10.421875" style="335" bestFit="1" customWidth="1"/>
    <col min="11789" max="11789" width="10.7109375" style="335" bestFit="1" customWidth="1"/>
    <col min="11790" max="11790" width="10.28125" style="335" bestFit="1" customWidth="1"/>
    <col min="11791" max="12032" width="9.140625" style="335" customWidth="1"/>
    <col min="12033" max="12033" width="57.421875" style="335" customWidth="1"/>
    <col min="12034" max="12034" width="11.7109375" style="335" customWidth="1"/>
    <col min="12035" max="12035" width="18.140625" style="335" customWidth="1"/>
    <col min="12036" max="12037" width="14.8515625" style="335" customWidth="1"/>
    <col min="12038" max="12038" width="15.28125" style="335" customWidth="1"/>
    <col min="12039" max="12039" width="15.00390625" style="335" customWidth="1"/>
    <col min="12040" max="12040" width="14.140625" style="335" customWidth="1"/>
    <col min="12041" max="12041" width="16.00390625" style="335" customWidth="1"/>
    <col min="12042" max="12042" width="17.140625" style="335" bestFit="1" customWidth="1"/>
    <col min="12043" max="12043" width="10.7109375" style="335" bestFit="1" customWidth="1"/>
    <col min="12044" max="12044" width="10.421875" style="335" bestFit="1" customWidth="1"/>
    <col min="12045" max="12045" width="10.7109375" style="335" bestFit="1" customWidth="1"/>
    <col min="12046" max="12046" width="10.28125" style="335" bestFit="1" customWidth="1"/>
    <col min="12047" max="12288" width="9.140625" style="335" customWidth="1"/>
    <col min="12289" max="12289" width="57.421875" style="335" customWidth="1"/>
    <col min="12290" max="12290" width="11.7109375" style="335" customWidth="1"/>
    <col min="12291" max="12291" width="18.140625" style="335" customWidth="1"/>
    <col min="12292" max="12293" width="14.8515625" style="335" customWidth="1"/>
    <col min="12294" max="12294" width="15.28125" style="335" customWidth="1"/>
    <col min="12295" max="12295" width="15.00390625" style="335" customWidth="1"/>
    <col min="12296" max="12296" width="14.140625" style="335" customWidth="1"/>
    <col min="12297" max="12297" width="16.00390625" style="335" customWidth="1"/>
    <col min="12298" max="12298" width="17.140625" style="335" bestFit="1" customWidth="1"/>
    <col min="12299" max="12299" width="10.7109375" style="335" bestFit="1" customWidth="1"/>
    <col min="12300" max="12300" width="10.421875" style="335" bestFit="1" customWidth="1"/>
    <col min="12301" max="12301" width="10.7109375" style="335" bestFit="1" customWidth="1"/>
    <col min="12302" max="12302" width="10.28125" style="335" bestFit="1" customWidth="1"/>
    <col min="12303" max="12544" width="9.140625" style="335" customWidth="1"/>
    <col min="12545" max="12545" width="57.421875" style="335" customWidth="1"/>
    <col min="12546" max="12546" width="11.7109375" style="335" customWidth="1"/>
    <col min="12547" max="12547" width="18.140625" style="335" customWidth="1"/>
    <col min="12548" max="12549" width="14.8515625" style="335" customWidth="1"/>
    <col min="12550" max="12550" width="15.28125" style="335" customWidth="1"/>
    <col min="12551" max="12551" width="15.00390625" style="335" customWidth="1"/>
    <col min="12552" max="12552" width="14.140625" style="335" customWidth="1"/>
    <col min="12553" max="12553" width="16.00390625" style="335" customWidth="1"/>
    <col min="12554" max="12554" width="17.140625" style="335" bestFit="1" customWidth="1"/>
    <col min="12555" max="12555" width="10.7109375" style="335" bestFit="1" customWidth="1"/>
    <col min="12556" max="12556" width="10.421875" style="335" bestFit="1" customWidth="1"/>
    <col min="12557" max="12557" width="10.7109375" style="335" bestFit="1" customWidth="1"/>
    <col min="12558" max="12558" width="10.28125" style="335" bestFit="1" customWidth="1"/>
    <col min="12559" max="12800" width="9.140625" style="335" customWidth="1"/>
    <col min="12801" max="12801" width="57.421875" style="335" customWidth="1"/>
    <col min="12802" max="12802" width="11.7109375" style="335" customWidth="1"/>
    <col min="12803" max="12803" width="18.140625" style="335" customWidth="1"/>
    <col min="12804" max="12805" width="14.8515625" style="335" customWidth="1"/>
    <col min="12806" max="12806" width="15.28125" style="335" customWidth="1"/>
    <col min="12807" max="12807" width="15.00390625" style="335" customWidth="1"/>
    <col min="12808" max="12808" width="14.140625" style="335" customWidth="1"/>
    <col min="12809" max="12809" width="16.00390625" style="335" customWidth="1"/>
    <col min="12810" max="12810" width="17.140625" style="335" bestFit="1" customWidth="1"/>
    <col min="12811" max="12811" width="10.7109375" style="335" bestFit="1" customWidth="1"/>
    <col min="12812" max="12812" width="10.421875" style="335" bestFit="1" customWidth="1"/>
    <col min="12813" max="12813" width="10.7109375" style="335" bestFit="1" customWidth="1"/>
    <col min="12814" max="12814" width="10.28125" style="335" bestFit="1" customWidth="1"/>
    <col min="12815" max="13056" width="9.140625" style="335" customWidth="1"/>
    <col min="13057" max="13057" width="57.421875" style="335" customWidth="1"/>
    <col min="13058" max="13058" width="11.7109375" style="335" customWidth="1"/>
    <col min="13059" max="13059" width="18.140625" style="335" customWidth="1"/>
    <col min="13060" max="13061" width="14.8515625" style="335" customWidth="1"/>
    <col min="13062" max="13062" width="15.28125" style="335" customWidth="1"/>
    <col min="13063" max="13063" width="15.00390625" style="335" customWidth="1"/>
    <col min="13064" max="13064" width="14.140625" style="335" customWidth="1"/>
    <col min="13065" max="13065" width="16.00390625" style="335" customWidth="1"/>
    <col min="13066" max="13066" width="17.140625" style="335" bestFit="1" customWidth="1"/>
    <col min="13067" max="13067" width="10.7109375" style="335" bestFit="1" customWidth="1"/>
    <col min="13068" max="13068" width="10.421875" style="335" bestFit="1" customWidth="1"/>
    <col min="13069" max="13069" width="10.7109375" style="335" bestFit="1" customWidth="1"/>
    <col min="13070" max="13070" width="10.28125" style="335" bestFit="1" customWidth="1"/>
    <col min="13071" max="13312" width="9.140625" style="335" customWidth="1"/>
    <col min="13313" max="13313" width="57.421875" style="335" customWidth="1"/>
    <col min="13314" max="13314" width="11.7109375" style="335" customWidth="1"/>
    <col min="13315" max="13315" width="18.140625" style="335" customWidth="1"/>
    <col min="13316" max="13317" width="14.8515625" style="335" customWidth="1"/>
    <col min="13318" max="13318" width="15.28125" style="335" customWidth="1"/>
    <col min="13319" max="13319" width="15.00390625" style="335" customWidth="1"/>
    <col min="13320" max="13320" width="14.140625" style="335" customWidth="1"/>
    <col min="13321" max="13321" width="16.00390625" style="335" customWidth="1"/>
    <col min="13322" max="13322" width="17.140625" style="335" bestFit="1" customWidth="1"/>
    <col min="13323" max="13323" width="10.7109375" style="335" bestFit="1" customWidth="1"/>
    <col min="13324" max="13324" width="10.421875" style="335" bestFit="1" customWidth="1"/>
    <col min="13325" max="13325" width="10.7109375" style="335" bestFit="1" customWidth="1"/>
    <col min="13326" max="13326" width="10.28125" style="335" bestFit="1" customWidth="1"/>
    <col min="13327" max="13568" width="9.140625" style="335" customWidth="1"/>
    <col min="13569" max="13569" width="57.421875" style="335" customWidth="1"/>
    <col min="13570" max="13570" width="11.7109375" style="335" customWidth="1"/>
    <col min="13571" max="13571" width="18.140625" style="335" customWidth="1"/>
    <col min="13572" max="13573" width="14.8515625" style="335" customWidth="1"/>
    <col min="13574" max="13574" width="15.28125" style="335" customWidth="1"/>
    <col min="13575" max="13575" width="15.00390625" style="335" customWidth="1"/>
    <col min="13576" max="13576" width="14.140625" style="335" customWidth="1"/>
    <col min="13577" max="13577" width="16.00390625" style="335" customWidth="1"/>
    <col min="13578" max="13578" width="17.140625" style="335" bestFit="1" customWidth="1"/>
    <col min="13579" max="13579" width="10.7109375" style="335" bestFit="1" customWidth="1"/>
    <col min="13580" max="13580" width="10.421875" style="335" bestFit="1" customWidth="1"/>
    <col min="13581" max="13581" width="10.7109375" style="335" bestFit="1" customWidth="1"/>
    <col min="13582" max="13582" width="10.28125" style="335" bestFit="1" customWidth="1"/>
    <col min="13583" max="13824" width="9.140625" style="335" customWidth="1"/>
    <col min="13825" max="13825" width="57.421875" style="335" customWidth="1"/>
    <col min="13826" max="13826" width="11.7109375" style="335" customWidth="1"/>
    <col min="13827" max="13827" width="18.140625" style="335" customWidth="1"/>
    <col min="13828" max="13829" width="14.8515625" style="335" customWidth="1"/>
    <col min="13830" max="13830" width="15.28125" style="335" customWidth="1"/>
    <col min="13831" max="13831" width="15.00390625" style="335" customWidth="1"/>
    <col min="13832" max="13832" width="14.140625" style="335" customWidth="1"/>
    <col min="13833" max="13833" width="16.00390625" style="335" customWidth="1"/>
    <col min="13834" max="13834" width="17.140625" style="335" bestFit="1" customWidth="1"/>
    <col min="13835" max="13835" width="10.7109375" style="335" bestFit="1" customWidth="1"/>
    <col min="13836" max="13836" width="10.421875" style="335" bestFit="1" customWidth="1"/>
    <col min="13837" max="13837" width="10.7109375" style="335" bestFit="1" customWidth="1"/>
    <col min="13838" max="13838" width="10.28125" style="335" bestFit="1" customWidth="1"/>
    <col min="13839" max="14080" width="9.140625" style="335" customWidth="1"/>
    <col min="14081" max="14081" width="57.421875" style="335" customWidth="1"/>
    <col min="14082" max="14082" width="11.7109375" style="335" customWidth="1"/>
    <col min="14083" max="14083" width="18.140625" style="335" customWidth="1"/>
    <col min="14084" max="14085" width="14.8515625" style="335" customWidth="1"/>
    <col min="14086" max="14086" width="15.28125" style="335" customWidth="1"/>
    <col min="14087" max="14087" width="15.00390625" style="335" customWidth="1"/>
    <col min="14088" max="14088" width="14.140625" style="335" customWidth="1"/>
    <col min="14089" max="14089" width="16.00390625" style="335" customWidth="1"/>
    <col min="14090" max="14090" width="17.140625" style="335" bestFit="1" customWidth="1"/>
    <col min="14091" max="14091" width="10.7109375" style="335" bestFit="1" customWidth="1"/>
    <col min="14092" max="14092" width="10.421875" style="335" bestFit="1" customWidth="1"/>
    <col min="14093" max="14093" width="10.7109375" style="335" bestFit="1" customWidth="1"/>
    <col min="14094" max="14094" width="10.28125" style="335" bestFit="1" customWidth="1"/>
    <col min="14095" max="14336" width="9.140625" style="335" customWidth="1"/>
    <col min="14337" max="14337" width="57.421875" style="335" customWidth="1"/>
    <col min="14338" max="14338" width="11.7109375" style="335" customWidth="1"/>
    <col min="14339" max="14339" width="18.140625" style="335" customWidth="1"/>
    <col min="14340" max="14341" width="14.8515625" style="335" customWidth="1"/>
    <col min="14342" max="14342" width="15.28125" style="335" customWidth="1"/>
    <col min="14343" max="14343" width="15.00390625" style="335" customWidth="1"/>
    <col min="14344" max="14344" width="14.140625" style="335" customWidth="1"/>
    <col min="14345" max="14345" width="16.00390625" style="335" customWidth="1"/>
    <col min="14346" max="14346" width="17.140625" style="335" bestFit="1" customWidth="1"/>
    <col min="14347" max="14347" width="10.7109375" style="335" bestFit="1" customWidth="1"/>
    <col min="14348" max="14348" width="10.421875" style="335" bestFit="1" customWidth="1"/>
    <col min="14349" max="14349" width="10.7109375" style="335" bestFit="1" customWidth="1"/>
    <col min="14350" max="14350" width="10.28125" style="335" bestFit="1" customWidth="1"/>
    <col min="14351" max="14592" width="9.140625" style="335" customWidth="1"/>
    <col min="14593" max="14593" width="57.421875" style="335" customWidth="1"/>
    <col min="14594" max="14594" width="11.7109375" style="335" customWidth="1"/>
    <col min="14595" max="14595" width="18.140625" style="335" customWidth="1"/>
    <col min="14596" max="14597" width="14.8515625" style="335" customWidth="1"/>
    <col min="14598" max="14598" width="15.28125" style="335" customWidth="1"/>
    <col min="14599" max="14599" width="15.00390625" style="335" customWidth="1"/>
    <col min="14600" max="14600" width="14.140625" style="335" customWidth="1"/>
    <col min="14601" max="14601" width="16.00390625" style="335" customWidth="1"/>
    <col min="14602" max="14602" width="17.140625" style="335" bestFit="1" customWidth="1"/>
    <col min="14603" max="14603" width="10.7109375" style="335" bestFit="1" customWidth="1"/>
    <col min="14604" max="14604" width="10.421875" style="335" bestFit="1" customWidth="1"/>
    <col min="14605" max="14605" width="10.7109375" style="335" bestFit="1" customWidth="1"/>
    <col min="14606" max="14606" width="10.28125" style="335" bestFit="1" customWidth="1"/>
    <col min="14607" max="14848" width="9.140625" style="335" customWidth="1"/>
    <col min="14849" max="14849" width="57.421875" style="335" customWidth="1"/>
    <col min="14850" max="14850" width="11.7109375" style="335" customWidth="1"/>
    <col min="14851" max="14851" width="18.140625" style="335" customWidth="1"/>
    <col min="14852" max="14853" width="14.8515625" style="335" customWidth="1"/>
    <col min="14854" max="14854" width="15.28125" style="335" customWidth="1"/>
    <col min="14855" max="14855" width="15.00390625" style="335" customWidth="1"/>
    <col min="14856" max="14856" width="14.140625" style="335" customWidth="1"/>
    <col min="14857" max="14857" width="16.00390625" style="335" customWidth="1"/>
    <col min="14858" max="14858" width="17.140625" style="335" bestFit="1" customWidth="1"/>
    <col min="14859" max="14859" width="10.7109375" style="335" bestFit="1" customWidth="1"/>
    <col min="14860" max="14860" width="10.421875" style="335" bestFit="1" customWidth="1"/>
    <col min="14861" max="14861" width="10.7109375" style="335" bestFit="1" customWidth="1"/>
    <col min="14862" max="14862" width="10.28125" style="335" bestFit="1" customWidth="1"/>
    <col min="14863" max="15104" width="9.140625" style="335" customWidth="1"/>
    <col min="15105" max="15105" width="57.421875" style="335" customWidth="1"/>
    <col min="15106" max="15106" width="11.7109375" style="335" customWidth="1"/>
    <col min="15107" max="15107" width="18.140625" style="335" customWidth="1"/>
    <col min="15108" max="15109" width="14.8515625" style="335" customWidth="1"/>
    <col min="15110" max="15110" width="15.28125" style="335" customWidth="1"/>
    <col min="15111" max="15111" width="15.00390625" style="335" customWidth="1"/>
    <col min="15112" max="15112" width="14.140625" style="335" customWidth="1"/>
    <col min="15113" max="15113" width="16.00390625" style="335" customWidth="1"/>
    <col min="15114" max="15114" width="17.140625" style="335" bestFit="1" customWidth="1"/>
    <col min="15115" max="15115" width="10.7109375" style="335" bestFit="1" customWidth="1"/>
    <col min="15116" max="15116" width="10.421875" style="335" bestFit="1" customWidth="1"/>
    <col min="15117" max="15117" width="10.7109375" style="335" bestFit="1" customWidth="1"/>
    <col min="15118" max="15118" width="10.28125" style="335" bestFit="1" customWidth="1"/>
    <col min="15119" max="15360" width="9.140625" style="335" customWidth="1"/>
    <col min="15361" max="15361" width="57.421875" style="335" customWidth="1"/>
    <col min="15362" max="15362" width="11.7109375" style="335" customWidth="1"/>
    <col min="15363" max="15363" width="18.140625" style="335" customWidth="1"/>
    <col min="15364" max="15365" width="14.8515625" style="335" customWidth="1"/>
    <col min="15366" max="15366" width="15.28125" style="335" customWidth="1"/>
    <col min="15367" max="15367" width="15.00390625" style="335" customWidth="1"/>
    <col min="15368" max="15368" width="14.140625" style="335" customWidth="1"/>
    <col min="15369" max="15369" width="16.00390625" style="335" customWidth="1"/>
    <col min="15370" max="15370" width="17.140625" style="335" bestFit="1" customWidth="1"/>
    <col min="15371" max="15371" width="10.7109375" style="335" bestFit="1" customWidth="1"/>
    <col min="15372" max="15372" width="10.421875" style="335" bestFit="1" customWidth="1"/>
    <col min="15373" max="15373" width="10.7109375" style="335" bestFit="1" customWidth="1"/>
    <col min="15374" max="15374" width="10.28125" style="335" bestFit="1" customWidth="1"/>
    <col min="15375" max="15616" width="9.140625" style="335" customWidth="1"/>
    <col min="15617" max="15617" width="57.421875" style="335" customWidth="1"/>
    <col min="15618" max="15618" width="11.7109375" style="335" customWidth="1"/>
    <col min="15619" max="15619" width="18.140625" style="335" customWidth="1"/>
    <col min="15620" max="15621" width="14.8515625" style="335" customWidth="1"/>
    <col min="15622" max="15622" width="15.28125" style="335" customWidth="1"/>
    <col min="15623" max="15623" width="15.00390625" style="335" customWidth="1"/>
    <col min="15624" max="15624" width="14.140625" style="335" customWidth="1"/>
    <col min="15625" max="15625" width="16.00390625" style="335" customWidth="1"/>
    <col min="15626" max="15626" width="17.140625" style="335" bestFit="1" customWidth="1"/>
    <col min="15627" max="15627" width="10.7109375" style="335" bestFit="1" customWidth="1"/>
    <col min="15628" max="15628" width="10.421875" style="335" bestFit="1" customWidth="1"/>
    <col min="15629" max="15629" width="10.7109375" style="335" bestFit="1" customWidth="1"/>
    <col min="15630" max="15630" width="10.28125" style="335" bestFit="1" customWidth="1"/>
    <col min="15631" max="15872" width="9.140625" style="335" customWidth="1"/>
    <col min="15873" max="15873" width="57.421875" style="335" customWidth="1"/>
    <col min="15874" max="15874" width="11.7109375" style="335" customWidth="1"/>
    <col min="15875" max="15875" width="18.140625" style="335" customWidth="1"/>
    <col min="15876" max="15877" width="14.8515625" style="335" customWidth="1"/>
    <col min="15878" max="15878" width="15.28125" style="335" customWidth="1"/>
    <col min="15879" max="15879" width="15.00390625" style="335" customWidth="1"/>
    <col min="15880" max="15880" width="14.140625" style="335" customWidth="1"/>
    <col min="15881" max="15881" width="16.00390625" style="335" customWidth="1"/>
    <col min="15882" max="15882" width="17.140625" style="335" bestFit="1" customWidth="1"/>
    <col min="15883" max="15883" width="10.7109375" style="335" bestFit="1" customWidth="1"/>
    <col min="15884" max="15884" width="10.421875" style="335" bestFit="1" customWidth="1"/>
    <col min="15885" max="15885" width="10.7109375" style="335" bestFit="1" customWidth="1"/>
    <col min="15886" max="15886" width="10.28125" style="335" bestFit="1" customWidth="1"/>
    <col min="15887" max="16128" width="9.140625" style="335" customWidth="1"/>
    <col min="16129" max="16129" width="57.421875" style="335" customWidth="1"/>
    <col min="16130" max="16130" width="11.7109375" style="335" customWidth="1"/>
    <col min="16131" max="16131" width="18.140625" style="335" customWidth="1"/>
    <col min="16132" max="16133" width="14.8515625" style="335" customWidth="1"/>
    <col min="16134" max="16134" width="15.28125" style="335" customWidth="1"/>
    <col min="16135" max="16135" width="15.00390625" style="335" customWidth="1"/>
    <col min="16136" max="16136" width="14.140625" style="335" customWidth="1"/>
    <col min="16137" max="16137" width="16.00390625" style="335" customWidth="1"/>
    <col min="16138" max="16138" width="17.140625" style="335" bestFit="1" customWidth="1"/>
    <col min="16139" max="16139" width="10.7109375" style="335" bestFit="1" customWidth="1"/>
    <col min="16140" max="16140" width="10.421875" style="335" bestFit="1" customWidth="1"/>
    <col min="16141" max="16141" width="10.7109375" style="335" bestFit="1" customWidth="1"/>
    <col min="16142" max="16142" width="10.28125" style="335" bestFit="1" customWidth="1"/>
    <col min="16143" max="16384" width="9.140625" style="335" customWidth="1"/>
  </cols>
  <sheetData>
    <row r="1" spans="1:8" ht="12.75">
      <c r="A1" s="1102" t="s">
        <v>78</v>
      </c>
      <c r="B1" s="1102"/>
      <c r="C1" s="1102"/>
      <c r="D1" s="1102"/>
      <c r="E1" s="1102"/>
      <c r="F1" s="1102"/>
      <c r="G1" s="1102"/>
      <c r="H1" s="1102"/>
    </row>
    <row r="2" spans="1:8" ht="12.75">
      <c r="A2" s="1102" t="s">
        <v>133</v>
      </c>
      <c r="B2" s="1102"/>
      <c r="C2" s="1102"/>
      <c r="D2" s="1102"/>
      <c r="E2" s="1102"/>
      <c r="F2" s="1102"/>
      <c r="G2" s="1102"/>
      <c r="H2" s="1102"/>
    </row>
    <row r="3" spans="1:8" ht="12.75">
      <c r="A3" s="1102" t="s">
        <v>280</v>
      </c>
      <c r="B3" s="1102"/>
      <c r="C3" s="1102"/>
      <c r="D3" s="1102"/>
      <c r="E3" s="1102"/>
      <c r="F3" s="1102"/>
      <c r="G3" s="1102"/>
      <c r="H3" s="1102"/>
    </row>
    <row r="4" spans="1:8" ht="13.5" thickBot="1">
      <c r="A4" s="659"/>
      <c r="B4" s="660"/>
      <c r="C4" s="660"/>
      <c r="D4" s="660"/>
      <c r="E4" s="660"/>
      <c r="F4" s="660"/>
      <c r="G4" s="660"/>
      <c r="H4" s="660"/>
    </row>
    <row r="5" spans="1:8" ht="12.75">
      <c r="A5" s="661" t="s">
        <v>80</v>
      </c>
      <c r="B5" s="662" t="s">
        <v>17</v>
      </c>
      <c r="C5" s="662">
        <v>2012</v>
      </c>
      <c r="D5" s="662">
        <v>2013</v>
      </c>
      <c r="E5" s="662">
        <f>+D5+1</f>
        <v>2014</v>
      </c>
      <c r="F5" s="662">
        <f>+E5+1</f>
        <v>2015</v>
      </c>
      <c r="G5" s="662">
        <f>+F5+1</f>
        <v>2016</v>
      </c>
      <c r="H5" s="663">
        <f>+G5+1</f>
        <v>2017</v>
      </c>
    </row>
    <row r="6" spans="1:12" ht="15">
      <c r="A6" s="664" t="s">
        <v>18</v>
      </c>
      <c r="B6" s="665" t="s">
        <v>19</v>
      </c>
      <c r="C6" s="666"/>
      <c r="D6" s="666">
        <v>0.0214</v>
      </c>
      <c r="E6" s="666">
        <f aca="true" t="shared" si="0" ref="E6:H7">D6</f>
        <v>0.0214</v>
      </c>
      <c r="F6" s="666">
        <f t="shared" si="0"/>
        <v>0.0214</v>
      </c>
      <c r="G6" s="666">
        <f t="shared" si="0"/>
        <v>0.0214</v>
      </c>
      <c r="H6" s="667">
        <f t="shared" si="0"/>
        <v>0.0214</v>
      </c>
      <c r="I6" s="668"/>
      <c r="L6" s="669"/>
    </row>
    <row r="7" spans="1:9" ht="12.75">
      <c r="A7" s="670" t="s">
        <v>20</v>
      </c>
      <c r="B7" s="671" t="s">
        <v>19</v>
      </c>
      <c r="C7" s="672"/>
      <c r="D7" s="672">
        <v>0.006</v>
      </c>
      <c r="E7" s="672">
        <f t="shared" si="0"/>
        <v>0.006</v>
      </c>
      <c r="F7" s="672">
        <f t="shared" si="0"/>
        <v>0.006</v>
      </c>
      <c r="G7" s="672">
        <f t="shared" si="0"/>
        <v>0.006</v>
      </c>
      <c r="H7" s="673">
        <f t="shared" si="0"/>
        <v>0.006</v>
      </c>
      <c r="I7" s="668"/>
    </row>
    <row r="8" spans="1:9" ht="12.75">
      <c r="A8" s="674" t="s">
        <v>21</v>
      </c>
      <c r="B8" s="675" t="s">
        <v>19</v>
      </c>
      <c r="C8" s="676">
        <v>0.0785</v>
      </c>
      <c r="D8" s="677"/>
      <c r="E8" s="677"/>
      <c r="F8" s="677"/>
      <c r="G8" s="677"/>
      <c r="H8" s="678"/>
      <c r="I8" s="679"/>
    </row>
    <row r="9" spans="1:8" ht="12.75">
      <c r="A9" s="680" t="s">
        <v>81</v>
      </c>
      <c r="B9" s="665"/>
      <c r="C9" s="681"/>
      <c r="D9" s="682"/>
      <c r="E9" s="683"/>
      <c r="F9" s="682"/>
      <c r="G9" s="684"/>
      <c r="H9" s="685"/>
    </row>
    <row r="10" spans="1:8" ht="12.75">
      <c r="A10" s="670" t="s">
        <v>248</v>
      </c>
      <c r="B10" s="671" t="s">
        <v>83</v>
      </c>
      <c r="C10" s="686">
        <f>+'[9]ACTIVOS'!C31+'[9]ACTIVOS'!C180</f>
        <v>364992.40393933386</v>
      </c>
      <c r="D10" s="687">
        <f>+'[9]ACTIVOS'!D31+'[9]ACTIVOS'!D180</f>
        <v>371898.35220933385</v>
      </c>
      <c r="E10" s="686">
        <f>+'[9]ACTIVOS'!E31+'[9]ACTIVOS'!E180</f>
        <v>425055.19356942485</v>
      </c>
      <c r="F10" s="687">
        <f>+'[9]ACTIVOS'!F31+'[9]ACTIVOS'!F180</f>
        <v>500683.88535273896</v>
      </c>
      <c r="G10" s="686">
        <f>+'[9]ACTIVOS'!G31+'[9]ACTIVOS'!G180</f>
        <v>542493.6114082426</v>
      </c>
      <c r="H10" s="688">
        <f>+'[9]ACTIVOS'!H31+'[9]ACTIVOS'!H180</f>
        <v>667701.2313249976</v>
      </c>
    </row>
    <row r="11" spans="1:8" ht="12.75">
      <c r="A11" s="670" t="s">
        <v>82</v>
      </c>
      <c r="B11" s="671" t="s">
        <v>83</v>
      </c>
      <c r="C11" s="686">
        <f>+'[9]ACTIVOS'!C87</f>
        <v>21486.15398122545</v>
      </c>
      <c r="D11" s="687">
        <f>+'[9]ACTIVOS'!D87</f>
        <v>29812.15398122545</v>
      </c>
      <c r="E11" s="686">
        <f>+'[9]ACTIVOS'!E87</f>
        <v>40685.50434618895</v>
      </c>
      <c r="F11" s="687">
        <f>+'[9]ACTIVOS'!F87</f>
        <v>49556.89120750282</v>
      </c>
      <c r="G11" s="686">
        <f>+'[9]ACTIVOS'!G87</f>
        <v>49837.18317830574</v>
      </c>
      <c r="H11" s="688">
        <f>+'[9]ACTIVOS'!H87</f>
        <v>49837.18317830574</v>
      </c>
    </row>
    <row r="12" spans="1:8" ht="12.75">
      <c r="A12" s="670" t="s">
        <v>249</v>
      </c>
      <c r="B12" s="671" t="s">
        <v>83</v>
      </c>
      <c r="C12" s="686">
        <f>+'[9]ACTIVOS'!C115</f>
        <v>2000.9</v>
      </c>
      <c r="D12" s="687">
        <f>+'[9]ACTIVOS'!D115</f>
        <v>2000.9</v>
      </c>
      <c r="E12" s="686">
        <f>+'[9]ACTIVOS'!E115</f>
        <v>2000.9</v>
      </c>
      <c r="F12" s="687">
        <f>+'[9]ACTIVOS'!F115</f>
        <v>2000.9</v>
      </c>
      <c r="G12" s="686">
        <f>+'[9]ACTIVOS'!G115</f>
        <v>0</v>
      </c>
      <c r="H12" s="688">
        <f>+'[9]ACTIVOS'!H115</f>
        <v>0</v>
      </c>
    </row>
    <row r="13" spans="1:8" ht="12.75">
      <c r="A13" s="670" t="s">
        <v>250</v>
      </c>
      <c r="B13" s="671" t="s">
        <v>83</v>
      </c>
      <c r="C13" s="686">
        <f>+'[9]ACTIVOS'!C32+'[9]ACTIVOS'!C181</f>
        <v>208150.0790332263</v>
      </c>
      <c r="D13" s="687">
        <f>+'[9]ACTIVOS'!D32+'[9]ACTIVOS'!D181</f>
        <v>203804.44569557876</v>
      </c>
      <c r="E13" s="686">
        <f>+'[9]ACTIVOS'!E32+'[9]ACTIVOS'!E181</f>
        <v>245502.5269999222</v>
      </c>
      <c r="F13" s="687">
        <f>+'[9]ACTIVOS'!F32+'[9]ACTIVOS'!F181</f>
        <v>308077.7534866861</v>
      </c>
      <c r="G13" s="686">
        <f>+'[9]ACTIVOS'!G32+'[9]ACTIVOS'!G181</f>
        <v>334565.1534921401</v>
      </c>
      <c r="H13" s="688">
        <f>+'[9]ACTIVOS'!H32+'[9]ACTIVOS'!H181</f>
        <v>443196.1555771803</v>
      </c>
    </row>
    <row r="14" spans="1:8" ht="12.75">
      <c r="A14" s="670" t="s">
        <v>84</v>
      </c>
      <c r="B14" s="671" t="s">
        <v>83</v>
      </c>
      <c r="C14" s="686">
        <f>+'[9]ACTIVOS'!C88</f>
        <v>8607.546346667083</v>
      </c>
      <c r="D14" s="687">
        <f>+'[9]ACTIVOS'!D88</f>
        <v>16169.476097688785</v>
      </c>
      <c r="E14" s="686">
        <f>+'[9]ACTIVOS'!E88</f>
        <v>26028.97621367399</v>
      </c>
      <c r="F14" s="687">
        <f>+'[9]ACTIVOS'!F88</f>
        <v>33560.312315060655</v>
      </c>
      <c r="G14" s="686">
        <f>+'[9]ACTIVOS'!G88</f>
        <v>32234.411920096958</v>
      </c>
      <c r="H14" s="688">
        <f>+'[9]ACTIVOS'!H88</f>
        <v>30619.81079520625</v>
      </c>
    </row>
    <row r="15" spans="1:8" ht="12.75">
      <c r="A15" s="670" t="s">
        <v>251</v>
      </c>
      <c r="B15" s="671" t="s">
        <v>83</v>
      </c>
      <c r="C15" s="686">
        <f>+'[9]ACTIVOS'!C116</f>
        <v>269.1894999999995</v>
      </c>
      <c r="D15" s="687">
        <f>+'[9]ACTIVOS'!D116</f>
        <v>199.15799999999945</v>
      </c>
      <c r="E15" s="686">
        <f>+'[9]ACTIVOS'!E116</f>
        <v>129.1264999999994</v>
      </c>
      <c r="F15" s="687">
        <f>+'[9]ACTIVOS'!F116</f>
        <v>59.094999999999345</v>
      </c>
      <c r="G15" s="686">
        <f>+'[9]ACTIVOS'!G116</f>
        <v>0</v>
      </c>
      <c r="H15" s="688">
        <f>+'[9]ACTIVOS'!H116</f>
        <v>0</v>
      </c>
    </row>
    <row r="16" spans="1:9" ht="12.75">
      <c r="A16" s="689" t="s">
        <v>252</v>
      </c>
      <c r="B16" s="671"/>
      <c r="C16" s="681"/>
      <c r="D16" s="690"/>
      <c r="E16" s="683"/>
      <c r="F16" s="690"/>
      <c r="G16" s="683"/>
      <c r="H16" s="691"/>
      <c r="I16" s="692"/>
    </row>
    <row r="17" spans="1:9" ht="12.75">
      <c r="A17" s="670" t="s">
        <v>132</v>
      </c>
      <c r="B17" s="671" t="s">
        <v>83</v>
      </c>
      <c r="C17" s="686">
        <f>+'[9]ACTIVOS'!C124</f>
        <v>564912.051480781</v>
      </c>
      <c r="D17" s="687">
        <f>+'[9]ACTIVOS'!D124</f>
        <v>571817.999750781</v>
      </c>
      <c r="E17" s="686">
        <f>+'[9]ACTIVOS'!E124</f>
        <v>633386.841110872</v>
      </c>
      <c r="F17" s="687">
        <f>+'[9]ACTIVOS'!F124</f>
        <v>727100.5328941861</v>
      </c>
      <c r="G17" s="686">
        <f>+'[9]ACTIVOS'!G124</f>
        <v>768910.2589496898</v>
      </c>
      <c r="H17" s="688">
        <f>+'[9]ACTIVOS'!H124</f>
        <v>894117.8788664448</v>
      </c>
      <c r="I17" s="693"/>
    </row>
    <row r="18" spans="1:9" ht="12.75">
      <c r="A18" s="670" t="s">
        <v>253</v>
      </c>
      <c r="B18" s="671" t="s">
        <v>83</v>
      </c>
      <c r="C18" s="686"/>
      <c r="D18" s="687"/>
      <c r="E18" s="686"/>
      <c r="F18" s="687"/>
      <c r="G18" s="686">
        <f>+'[9]ACTIVOS'!G125</f>
        <v>146440</v>
      </c>
      <c r="H18" s="688">
        <f>+'[9]ACTIVOS'!H125</f>
        <v>146440</v>
      </c>
      <c r="I18" s="693"/>
    </row>
    <row r="19" spans="1:9" ht="12.75">
      <c r="A19" s="670" t="s">
        <v>86</v>
      </c>
      <c r="B19" s="671" t="s">
        <v>83</v>
      </c>
      <c r="C19" s="686">
        <f>+'[9]ACTIVOS'!C126</f>
        <v>39500.375681231126</v>
      </c>
      <c r="D19" s="687">
        <f>+'[9]ACTIVOS'!D126</f>
        <v>47826.375681231126</v>
      </c>
      <c r="E19" s="686">
        <f>+'[9]ACTIVOS'!E126</f>
        <v>58699.72604619463</v>
      </c>
      <c r="F19" s="687">
        <f>+'[9]ACTIVOS'!F126</f>
        <v>67571.11290750849</v>
      </c>
      <c r="G19" s="686">
        <f>+'[9]ACTIVOS'!G126</f>
        <v>67851.40487831141</v>
      </c>
      <c r="H19" s="688">
        <f>+'[9]ACTIVOS'!H126</f>
        <v>67851.40487831141</v>
      </c>
      <c r="I19" s="693"/>
    </row>
    <row r="20" spans="1:9" ht="12.75">
      <c r="A20" s="689" t="s">
        <v>87</v>
      </c>
      <c r="B20" s="671"/>
      <c r="C20" s="686"/>
      <c r="D20" s="687"/>
      <c r="E20" s="686"/>
      <c r="F20" s="687"/>
      <c r="G20" s="686"/>
      <c r="H20" s="688"/>
      <c r="I20" s="693"/>
    </row>
    <row r="21" spans="1:9" ht="12.75">
      <c r="A21" s="670" t="s">
        <v>132</v>
      </c>
      <c r="B21" s="671" t="s">
        <v>83</v>
      </c>
      <c r="C21" s="686"/>
      <c r="D21" s="687">
        <f>+'[9]ACTIVOS'!D131</f>
        <v>1819.7068916666667</v>
      </c>
      <c r="E21" s="686">
        <f>+'[9]ACTIVOS'!E131</f>
        <v>47608.97622270921</v>
      </c>
      <c r="F21" s="687">
        <f>+'[9]ACTIVOS'!F131</f>
        <v>59595.072808410434</v>
      </c>
      <c r="G21" s="686">
        <f>+'[9]ACTIVOS'!G131</f>
        <v>37662.16866619708</v>
      </c>
      <c r="H21" s="688">
        <f>+'[9]ACTIVOS'!H131</f>
        <v>106800.02828477375</v>
      </c>
      <c r="I21" s="693"/>
    </row>
    <row r="22" spans="1:9" ht="12.75">
      <c r="A22" s="670" t="s">
        <v>253</v>
      </c>
      <c r="B22" s="671" t="s">
        <v>83</v>
      </c>
      <c r="C22" s="686"/>
      <c r="D22" s="687"/>
      <c r="E22" s="686"/>
      <c r="F22" s="687"/>
      <c r="G22" s="686">
        <f>+'[9]ACTIVOS'!G132</f>
        <v>73220</v>
      </c>
      <c r="H22" s="688"/>
      <c r="I22" s="693"/>
    </row>
    <row r="23" spans="1:9" ht="13.5" thickBot="1">
      <c r="A23" s="694" t="s">
        <v>86</v>
      </c>
      <c r="B23" s="695" t="s">
        <v>83</v>
      </c>
      <c r="C23" s="696"/>
      <c r="D23" s="697">
        <f>+'[9]ACTIVOS'!D133</f>
        <v>4856.833333333333</v>
      </c>
      <c r="E23" s="696">
        <f>+'[9]ACTIVOS'!E133</f>
        <v>5096.279197080292</v>
      </c>
      <c r="F23" s="697">
        <f>+'[9]ACTIVOS'!F133</f>
        <v>8750.948905109488</v>
      </c>
      <c r="G23" s="696">
        <f>+'[9]ACTIVOS'!G133</f>
        <v>23.35766423357664</v>
      </c>
      <c r="H23" s="698">
        <f>+'[9]ACTIVOS'!H133</f>
        <v>0</v>
      </c>
      <c r="I23" s="693"/>
    </row>
    <row r="24" spans="1:8" ht="13.5" thickBot="1">
      <c r="A24" s="699"/>
      <c r="B24" s="699"/>
      <c r="C24" s="699"/>
      <c r="D24" s="699"/>
      <c r="E24" s="699"/>
      <c r="F24" s="699"/>
      <c r="G24" s="699"/>
      <c r="H24" s="699"/>
    </row>
    <row r="25" spans="1:8" ht="12.75">
      <c r="A25" s="1109" t="s">
        <v>88</v>
      </c>
      <c r="B25" s="1110"/>
      <c r="C25" s="700">
        <v>2012</v>
      </c>
      <c r="D25" s="700">
        <v>2013</v>
      </c>
      <c r="E25" s="700">
        <f>+D25+1</f>
        <v>2014</v>
      </c>
      <c r="F25" s="700">
        <f>+E25+1</f>
        <v>2015</v>
      </c>
      <c r="G25" s="700">
        <f>+F25+1</f>
        <v>2016</v>
      </c>
      <c r="H25" s="701">
        <f>+G25+1</f>
        <v>2017</v>
      </c>
    </row>
    <row r="26" spans="1:8" ht="12.75">
      <c r="A26" s="1111"/>
      <c r="B26" s="1112"/>
      <c r="C26" s="702"/>
      <c r="D26" s="703"/>
      <c r="E26" s="704"/>
      <c r="F26" s="704"/>
      <c r="G26" s="704"/>
      <c r="H26" s="705"/>
    </row>
    <row r="27" spans="1:8" ht="12.75">
      <c r="A27" s="706" t="s">
        <v>254</v>
      </c>
      <c r="B27" s="707"/>
      <c r="C27" s="707"/>
      <c r="D27" s="708">
        <f>SUM(D28:D32)</f>
        <v>43667.775582156675</v>
      </c>
      <c r="E27" s="708">
        <f>SUM(E28:E32)</f>
        <v>48572.12841800675</v>
      </c>
      <c r="F27" s="708">
        <f>SUM(F28:F32)</f>
        <v>56396.4469228927</v>
      </c>
      <c r="G27" s="708">
        <f>SUM(G28:G32)</f>
        <v>63822.5235618055</v>
      </c>
      <c r="H27" s="709">
        <f>SUM(H28:H32)</f>
        <v>75623.36207142682</v>
      </c>
    </row>
    <row r="28" spans="1:14" ht="12.75">
      <c r="A28" s="670" t="s">
        <v>90</v>
      </c>
      <c r="B28" s="665" t="s">
        <v>83</v>
      </c>
      <c r="C28" s="710"/>
      <c r="D28" s="711">
        <f aca="true" t="shared" si="1" ref="D28:H29">D6*(C$17+D$21)</f>
        <v>12128.05962917038</v>
      </c>
      <c r="E28" s="711">
        <f t="shared" si="1"/>
        <v>13255.737285832689</v>
      </c>
      <c r="F28" s="711">
        <f t="shared" si="1"/>
        <v>14829.812957872642</v>
      </c>
      <c r="G28" s="711">
        <f t="shared" si="1"/>
        <v>16365.9218133922</v>
      </c>
      <c r="H28" s="712">
        <f t="shared" si="1"/>
        <v>18740.20014681752</v>
      </c>
      <c r="J28" s="713">
        <v>12128.05962917038</v>
      </c>
      <c r="K28" s="713">
        <v>13255.737285832689</v>
      </c>
      <c r="L28" s="713">
        <v>14829.812957872642</v>
      </c>
      <c r="M28" s="713">
        <v>16365.9218133922</v>
      </c>
      <c r="N28" s="713">
        <v>18740.20014681752</v>
      </c>
    </row>
    <row r="29" spans="1:14" ht="12.75">
      <c r="A29" s="670" t="s">
        <v>76</v>
      </c>
      <c r="B29" s="671" t="s">
        <v>83</v>
      </c>
      <c r="C29" s="710"/>
      <c r="D29" s="711">
        <f t="shared" si="1"/>
        <v>3400.390550234686</v>
      </c>
      <c r="E29" s="711">
        <f t="shared" si="1"/>
        <v>3716.561855840941</v>
      </c>
      <c r="F29" s="711">
        <f t="shared" si="1"/>
        <v>4157.891483515695</v>
      </c>
      <c r="G29" s="711">
        <f t="shared" si="1"/>
        <v>4588.576209362299</v>
      </c>
      <c r="H29" s="712">
        <f t="shared" si="1"/>
        <v>5254.261723406781</v>
      </c>
      <c r="J29" s="713">
        <v>3400.390550234686</v>
      </c>
      <c r="K29" s="713">
        <v>3716.561855840941</v>
      </c>
      <c r="L29" s="713">
        <v>4157.891483515695</v>
      </c>
      <c r="M29" s="713">
        <v>4588.576209362299</v>
      </c>
      <c r="N29" s="713">
        <v>5254.261723406781</v>
      </c>
    </row>
    <row r="30" spans="1:14" ht="12.75">
      <c r="A30" s="670" t="s">
        <v>91</v>
      </c>
      <c r="B30" s="671" t="s">
        <v>83</v>
      </c>
      <c r="C30" s="710"/>
      <c r="D30" s="711">
        <f>-'[9]ACTIVOS'!D33-'[9]ACTIVOS'!D61</f>
        <v>11251.581607647517</v>
      </c>
      <c r="E30" s="711">
        <f>-'[9]ACTIVOS'!E33-'[9]ACTIVOS'!E61</f>
        <v>11458.760055747516</v>
      </c>
      <c r="F30" s="711">
        <f>-'[9]ACTIVOS'!F33-'[9]ACTIVOS'!F61</f>
        <v>13053.465296550246</v>
      </c>
      <c r="G30" s="711">
        <f>-'[9]ACTIVOS'!G33-'[9]ACTIVOS'!G61</f>
        <v>15322.326050049669</v>
      </c>
      <c r="H30" s="712">
        <f>-'[9]ACTIVOS'!H33-'[9]ACTIVOS'!H61</f>
        <v>16576.61783171478</v>
      </c>
      <c r="I30" s="714"/>
      <c r="J30" s="713">
        <v>11251.581607647517</v>
      </c>
      <c r="K30" s="713">
        <v>11458.760055747516</v>
      </c>
      <c r="L30" s="713">
        <v>13053.465296550246</v>
      </c>
      <c r="M30" s="713">
        <v>15322.326050049669</v>
      </c>
      <c r="N30" s="713">
        <v>16576.61783171478</v>
      </c>
    </row>
    <row r="31" spans="1:14" ht="12.75">
      <c r="A31" s="670" t="s">
        <v>92</v>
      </c>
      <c r="B31" s="671" t="s">
        <v>83</v>
      </c>
      <c r="C31" s="710"/>
      <c r="D31" s="711">
        <f>$C$8*(C13+D21)</f>
        <v>16482.6281951041</v>
      </c>
      <c r="E31" s="711">
        <f>$C$8*(D13+E21)</f>
        <v>19735.953620585606</v>
      </c>
      <c r="F31" s="711">
        <f>$C$8*(E13+F21)</f>
        <v>23950.161584954112</v>
      </c>
      <c r="G31" s="711">
        <f>$C$8*(F13+G21)</f>
        <v>27140.583889001333</v>
      </c>
      <c r="H31" s="712">
        <f>$C$8*(G13+H21)</f>
        <v>34647.16676948774</v>
      </c>
      <c r="J31" s="713">
        <v>16482.6281951041</v>
      </c>
      <c r="K31" s="713">
        <v>19735.953620585606</v>
      </c>
      <c r="L31" s="713">
        <v>23950.161584954112</v>
      </c>
      <c r="M31" s="713">
        <v>27140.583889001333</v>
      </c>
      <c r="N31" s="713">
        <v>34647.16676948774</v>
      </c>
    </row>
    <row r="32" spans="1:14" ht="12.75">
      <c r="A32" s="670" t="s">
        <v>255</v>
      </c>
      <c r="B32" s="671" t="s">
        <v>83</v>
      </c>
      <c r="C32" s="710"/>
      <c r="D32" s="711">
        <v>405.1156</v>
      </c>
      <c r="E32" s="711">
        <v>405.1156</v>
      </c>
      <c r="F32" s="711">
        <v>405.1156</v>
      </c>
      <c r="G32" s="711">
        <v>405.1156</v>
      </c>
      <c r="H32" s="712">
        <v>405.1156</v>
      </c>
      <c r="J32" s="713">
        <v>405.1156</v>
      </c>
      <c r="K32" s="713">
        <v>405.1156</v>
      </c>
      <c r="L32" s="713">
        <v>405.1156</v>
      </c>
      <c r="M32" s="713">
        <v>405.1156</v>
      </c>
      <c r="N32" s="713">
        <v>405.1156</v>
      </c>
    </row>
    <row r="33" spans="1:14" ht="12.75">
      <c r="A33" s="670"/>
      <c r="B33" s="671"/>
      <c r="C33" s="710"/>
      <c r="D33" s="711"/>
      <c r="E33" s="711"/>
      <c r="F33" s="711"/>
      <c r="G33" s="711"/>
      <c r="H33" s="712"/>
      <c r="J33" s="713"/>
      <c r="K33" s="713"/>
      <c r="L33" s="713"/>
      <c r="M33" s="713"/>
      <c r="N33" s="713"/>
    </row>
    <row r="34" spans="1:8" ht="12.75">
      <c r="A34" s="715" t="s">
        <v>256</v>
      </c>
      <c r="B34" s="707"/>
      <c r="C34" s="707"/>
      <c r="D34" s="716">
        <f>SUM(D37:D37)</f>
        <v>0</v>
      </c>
      <c r="E34" s="716">
        <f>SUM(E37:E37)</f>
        <v>0</v>
      </c>
      <c r="F34" s="716">
        <f>SUM(F37:F37)</f>
        <v>0</v>
      </c>
      <c r="G34" s="716">
        <f>SUM(G35:G37)</f>
        <v>25838.663626595</v>
      </c>
      <c r="H34" s="717">
        <f>SUM(H35:H37)</f>
        <v>27844.891626595</v>
      </c>
    </row>
    <row r="35" spans="1:8" ht="12.75">
      <c r="A35" s="670" t="s">
        <v>90</v>
      </c>
      <c r="B35" s="665" t="s">
        <v>83</v>
      </c>
      <c r="C35" s="710"/>
      <c r="D35" s="718"/>
      <c r="E35" s="718"/>
      <c r="F35" s="718"/>
      <c r="G35" s="711">
        <f>+(F18+G22)*(F6)</f>
        <v>1566.908</v>
      </c>
      <c r="H35" s="712">
        <f>+(G18+H22)*(G6)</f>
        <v>3133.816</v>
      </c>
    </row>
    <row r="36" spans="1:8" ht="12.75">
      <c r="A36" s="670" t="s">
        <v>76</v>
      </c>
      <c r="B36" s="671" t="s">
        <v>83</v>
      </c>
      <c r="C36" s="710"/>
      <c r="D36" s="718"/>
      <c r="E36" s="718"/>
      <c r="F36" s="718"/>
      <c r="G36" s="711">
        <f>+(F18+G22)*(F7)</f>
        <v>439.32</v>
      </c>
      <c r="H36" s="712">
        <f>+(G18+H22)*(G7)</f>
        <v>878.64</v>
      </c>
    </row>
    <row r="37" spans="1:8" ht="12.75">
      <c r="A37" s="670" t="s">
        <v>257</v>
      </c>
      <c r="B37" s="671" t="s">
        <v>83</v>
      </c>
      <c r="C37" s="710"/>
      <c r="D37" s="711"/>
      <c r="E37" s="711"/>
      <c r="F37" s="711"/>
      <c r="G37" s="711">
        <f>-'[9]Leasing'!$B$6/1000</f>
        <v>23832.435626595</v>
      </c>
      <c r="H37" s="712">
        <f>-'[9]Leasing'!$B$6/1000</f>
        <v>23832.435626595</v>
      </c>
    </row>
    <row r="38" spans="1:8" ht="12.75">
      <c r="A38" s="670"/>
      <c r="B38" s="675"/>
      <c r="C38" s="710"/>
      <c r="D38" s="719"/>
      <c r="E38" s="719"/>
      <c r="F38" s="719"/>
      <c r="G38" s="719"/>
      <c r="H38" s="720"/>
    </row>
    <row r="39" spans="1:8" ht="12.75">
      <c r="A39" s="706" t="s">
        <v>89</v>
      </c>
      <c r="B39" s="707"/>
      <c r="C39" s="707"/>
      <c r="D39" s="716">
        <f>SUM(D40:D43)</f>
        <v>3036.411580857397</v>
      </c>
      <c r="E39" s="716">
        <f>SUM(E40:E43)</f>
        <v>4133.292783283404</v>
      </c>
      <c r="F39" s="716">
        <f>SUM(F40:F43)</f>
        <v>5918.423375417438</v>
      </c>
      <c r="G39" s="716">
        <f>SUM(G40:G43)</f>
        <v>6094.598952806949</v>
      </c>
      <c r="H39" s="717">
        <f>SUM(H40:H43)</f>
        <v>6004.13095428405</v>
      </c>
    </row>
    <row r="40" spans="1:8" ht="12.75">
      <c r="A40" s="670" t="s">
        <v>90</v>
      </c>
      <c r="B40" s="665" t="s">
        <v>83</v>
      </c>
      <c r="C40" s="710"/>
      <c r="D40" s="711">
        <f aca="true" t="shared" si="2" ref="D40:H41">D6*(C$19+D$23)</f>
        <v>949.2442729116794</v>
      </c>
      <c r="E40" s="711">
        <f t="shared" si="2"/>
        <v>1132.5448143958643</v>
      </c>
      <c r="F40" s="711">
        <f t="shared" si="2"/>
        <v>1443.4444439579079</v>
      </c>
      <c r="G40" s="711">
        <f t="shared" si="2"/>
        <v>1446.5216702352802</v>
      </c>
      <c r="H40" s="712">
        <f t="shared" si="2"/>
        <v>1452.0200643958642</v>
      </c>
    </row>
    <row r="41" spans="1:8" ht="12.75">
      <c r="A41" s="670" t="s">
        <v>76</v>
      </c>
      <c r="B41" s="671" t="s">
        <v>83</v>
      </c>
      <c r="C41" s="710"/>
      <c r="D41" s="711">
        <f t="shared" si="2"/>
        <v>266.14325408738677</v>
      </c>
      <c r="E41" s="711">
        <f t="shared" si="2"/>
        <v>317.5359292698685</v>
      </c>
      <c r="F41" s="711">
        <f t="shared" si="2"/>
        <v>404.7040497078247</v>
      </c>
      <c r="G41" s="711">
        <f t="shared" si="2"/>
        <v>405.5668234304525</v>
      </c>
      <c r="H41" s="712">
        <f t="shared" si="2"/>
        <v>407.1084292698685</v>
      </c>
    </row>
    <row r="42" spans="1:8" ht="12.75">
      <c r="A42" s="670" t="s">
        <v>91</v>
      </c>
      <c r="B42" s="671" t="s">
        <v>83</v>
      </c>
      <c r="C42" s="710"/>
      <c r="D42" s="711">
        <f>-'[9]ACTIVOS'!D89</f>
        <v>764.070248978298</v>
      </c>
      <c r="E42" s="711">
        <f>-'[9]ACTIVOS'!E89</f>
        <v>1013.8502489782979</v>
      </c>
      <c r="F42" s="711">
        <f>-'[9]ACTIVOS'!F89</f>
        <v>1340.050759927203</v>
      </c>
      <c r="G42" s="711">
        <f>-'[9]ACTIVOS'!G89</f>
        <v>1606.192365766619</v>
      </c>
      <c r="H42" s="712">
        <f>-'[9]ACTIVOS'!H89</f>
        <v>1614.6011248907066</v>
      </c>
    </row>
    <row r="43" spans="1:8" ht="12.75">
      <c r="A43" s="670" t="s">
        <v>92</v>
      </c>
      <c r="B43" s="671" t="s">
        <v>83</v>
      </c>
      <c r="C43" s="710"/>
      <c r="D43" s="711">
        <f>+$C$8*(C14+D23)</f>
        <v>1056.9538048800327</v>
      </c>
      <c r="E43" s="711">
        <f>+$C$8*(D14+E23)</f>
        <v>1669.3617906393727</v>
      </c>
      <c r="F43" s="711">
        <f>+$C$8*(E14+F23)</f>
        <v>2730.2241218245026</v>
      </c>
      <c r="G43" s="711">
        <f>+$C$8*(F14+G23)</f>
        <v>2636.318093374597</v>
      </c>
      <c r="H43" s="712">
        <f>+$C$8*(G14+H23)</f>
        <v>2530.4013357276112</v>
      </c>
    </row>
    <row r="44" spans="1:8" ht="12.75">
      <c r="A44" s="670"/>
      <c r="B44" s="675"/>
      <c r="C44" s="710"/>
      <c r="D44" s="711"/>
      <c r="E44" s="711"/>
      <c r="F44" s="711"/>
      <c r="G44" s="711"/>
      <c r="H44" s="712"/>
    </row>
    <row r="45" spans="1:8" ht="12.75">
      <c r="A45" s="706" t="s">
        <v>135</v>
      </c>
      <c r="B45" s="707"/>
      <c r="C45" s="707"/>
      <c r="D45" s="716">
        <f>SUM(D46:D47)</f>
        <v>8493.69779681</v>
      </c>
      <c r="E45" s="716">
        <f>SUM(E46:E47)</f>
        <v>11049.919943013332</v>
      </c>
      <c r="F45" s="716">
        <f>SUM(F46:F47)</f>
        <v>11425.501208683334</v>
      </c>
      <c r="G45" s="716">
        <f>SUM(G46:G47)</f>
        <v>11381.178764353333</v>
      </c>
      <c r="H45" s="717">
        <f>SUM(H46:H47)</f>
        <v>10462.92585312</v>
      </c>
    </row>
    <row r="46" spans="1:8" ht="12.75">
      <c r="A46" s="670" t="s">
        <v>146</v>
      </c>
      <c r="B46" s="665" t="s">
        <v>83</v>
      </c>
      <c r="C46" s="721"/>
      <c r="D46" s="722">
        <f>'[9]CND'!B8</f>
        <v>5155.612281059999</v>
      </c>
      <c r="E46" s="722">
        <f>'[9]CND'!C8</f>
        <v>6848.436302679999</v>
      </c>
      <c r="F46" s="722">
        <f>'[9]CND'!D8</f>
        <v>6443.3603243</v>
      </c>
      <c r="G46" s="722">
        <f>'[9]CND'!E8</f>
        <v>6104.61213592</v>
      </c>
      <c r="H46" s="723">
        <f>'[9]CND'!F8</f>
        <v>5613.784345919999</v>
      </c>
    </row>
    <row r="47" spans="1:8" ht="12.75">
      <c r="A47" s="670" t="s">
        <v>136</v>
      </c>
      <c r="B47" s="671" t="s">
        <v>83</v>
      </c>
      <c r="C47" s="721"/>
      <c r="D47" s="722">
        <f>'[9]HID'!B8/1000-'[9]ACTIVOS'!D117+$C$8*C15</f>
        <v>3338.08551575</v>
      </c>
      <c r="E47" s="722">
        <f>'[9]HID'!C8/1000-'[9]ACTIVOS'!E117+$C$8*D15</f>
        <v>4201.483640333333</v>
      </c>
      <c r="F47" s="722">
        <f>'[9]HID'!D8/1000-'[9]ACTIVOS'!F117+$C$8*E15</f>
        <v>4982.140884383333</v>
      </c>
      <c r="G47" s="722">
        <f>'[9]HID'!E8/1000-'[9]ACTIVOS'!G117+$C$8*F15</f>
        <v>5276.566628433334</v>
      </c>
      <c r="H47" s="723">
        <f>'[9]HID'!F8/1000-'[9]ACTIVOS'!H117+$C$8*G15</f>
        <v>4849.141507199999</v>
      </c>
    </row>
    <row r="48" spans="1:8" ht="12.75">
      <c r="A48" s="670"/>
      <c r="B48" s="675"/>
      <c r="C48" s="710"/>
      <c r="D48" s="719"/>
      <c r="E48" s="719"/>
      <c r="F48" s="719"/>
      <c r="G48" s="724"/>
      <c r="H48" s="720"/>
    </row>
    <row r="49" spans="1:8" ht="13.5" thickBot="1">
      <c r="A49" s="725" t="s">
        <v>12</v>
      </c>
      <c r="B49" s="695" t="s">
        <v>83</v>
      </c>
      <c r="C49" s="726"/>
      <c r="D49" s="727">
        <f>D27+D39+D45</f>
        <v>55197.88495982408</v>
      </c>
      <c r="E49" s="727">
        <f>E27+E39+E45</f>
        <v>63755.341144303486</v>
      </c>
      <c r="F49" s="727">
        <f>F27+F39+F45</f>
        <v>73740.37150699347</v>
      </c>
      <c r="G49" s="727">
        <f>G27+G39+G45</f>
        <v>81298.30127896578</v>
      </c>
      <c r="H49" s="728">
        <f>H27+H39+H45</f>
        <v>92090.41887883087</v>
      </c>
    </row>
    <row r="50" spans="1:8" ht="12.75">
      <c r="A50" s="357"/>
      <c r="B50" s="357"/>
      <c r="C50" s="357"/>
      <c r="D50" s="357"/>
      <c r="E50" s="357"/>
      <c r="F50" s="357"/>
      <c r="G50" s="357"/>
      <c r="H50" s="357"/>
    </row>
    <row r="51" spans="1:8" ht="12.75">
      <c r="A51" s="357"/>
      <c r="B51" s="357"/>
      <c r="C51" s="357"/>
      <c r="D51" s="357"/>
      <c r="E51" s="357"/>
      <c r="F51" s="357"/>
      <c r="G51" s="357"/>
      <c r="H51" s="729"/>
    </row>
    <row r="52" spans="1:8" ht="12.75">
      <c r="A52" s="1113" t="s">
        <v>78</v>
      </c>
      <c r="B52" s="1113"/>
      <c r="C52" s="1113"/>
      <c r="D52" s="1113"/>
      <c r="E52" s="1113"/>
      <c r="F52" s="1113"/>
      <c r="G52" s="1113"/>
      <c r="H52" s="1113"/>
    </row>
    <row r="53" spans="1:8" ht="12.75">
      <c r="A53" s="1113" t="s">
        <v>137</v>
      </c>
      <c r="B53" s="1113"/>
      <c r="C53" s="1113"/>
      <c r="D53" s="1113"/>
      <c r="E53" s="1113"/>
      <c r="F53" s="1113"/>
      <c r="G53" s="1113"/>
      <c r="H53" s="1113"/>
    </row>
    <row r="54" spans="1:8" ht="12.75">
      <c r="A54" s="1102" t="s">
        <v>258</v>
      </c>
      <c r="B54" s="1102"/>
      <c r="C54" s="1102"/>
      <c r="D54" s="1102"/>
      <c r="E54" s="1102"/>
      <c r="F54" s="1102"/>
      <c r="G54" s="1102"/>
      <c r="H54" s="1102"/>
    </row>
    <row r="55" spans="1:8" ht="3" customHeight="1">
      <c r="A55" s="730"/>
      <c r="B55" s="731"/>
      <c r="C55" s="731"/>
      <c r="D55" s="731"/>
      <c r="E55" s="731"/>
      <c r="F55" s="731"/>
      <c r="G55" s="731"/>
      <c r="H55" s="731"/>
    </row>
    <row r="56" spans="1:8" ht="3" customHeight="1" thickBot="1">
      <c r="A56" s="730"/>
      <c r="B56" s="731"/>
      <c r="C56" s="731"/>
      <c r="D56" s="731"/>
      <c r="E56" s="731"/>
      <c r="F56" s="731"/>
      <c r="G56" s="731"/>
      <c r="H56" s="731"/>
    </row>
    <row r="57" spans="1:8" ht="15">
      <c r="A57" s="732" t="s">
        <v>138</v>
      </c>
      <c r="B57" s="733"/>
      <c r="C57" s="734"/>
      <c r="D57" s="735">
        <v>2013</v>
      </c>
      <c r="E57" s="736">
        <v>2014</v>
      </c>
      <c r="F57" s="735">
        <v>2015</v>
      </c>
      <c r="G57" s="736">
        <v>2016</v>
      </c>
      <c r="H57" s="737">
        <v>2017</v>
      </c>
    </row>
    <row r="58" spans="1:8" ht="14.25">
      <c r="A58" s="738" t="s">
        <v>281</v>
      </c>
      <c r="B58" s="739"/>
      <c r="C58" s="740"/>
      <c r="D58" s="740"/>
      <c r="E58" s="741"/>
      <c r="F58" s="741"/>
      <c r="G58" s="741"/>
      <c r="H58" s="742"/>
    </row>
    <row r="59" spans="1:9" ht="14.25">
      <c r="A59" s="743" t="s">
        <v>254</v>
      </c>
      <c r="B59" s="744"/>
      <c r="C59" s="745"/>
      <c r="D59" s="746">
        <f>D27</f>
        <v>43667.775582156675</v>
      </c>
      <c r="E59" s="747">
        <f>E27</f>
        <v>48572.12841800675</v>
      </c>
      <c r="F59" s="747">
        <f>F27</f>
        <v>56396.4469228927</v>
      </c>
      <c r="G59" s="747">
        <f>G27</f>
        <v>63822.5235618055</v>
      </c>
      <c r="H59" s="748">
        <f>H27</f>
        <v>75623.36207142682</v>
      </c>
      <c r="I59" s="713"/>
    </row>
    <row r="60" spans="1:9" ht="14.25">
      <c r="A60" s="749" t="s">
        <v>256</v>
      </c>
      <c r="B60" s="744"/>
      <c r="C60" s="745"/>
      <c r="D60" s="746">
        <f>+D34</f>
        <v>0</v>
      </c>
      <c r="E60" s="747">
        <f>+E34</f>
        <v>0</v>
      </c>
      <c r="F60" s="747">
        <f>+F34</f>
        <v>0</v>
      </c>
      <c r="G60" s="747">
        <f>+G34</f>
        <v>25838.663626595</v>
      </c>
      <c r="H60" s="748">
        <f>+H34</f>
        <v>27844.891626595</v>
      </c>
      <c r="I60" s="713"/>
    </row>
    <row r="61" spans="1:9" ht="14.25">
      <c r="A61" s="743" t="s">
        <v>89</v>
      </c>
      <c r="B61" s="744"/>
      <c r="C61" s="745"/>
      <c r="D61" s="746">
        <f>D39</f>
        <v>3036.411580857397</v>
      </c>
      <c r="E61" s="747">
        <f>E39</f>
        <v>4133.292783283404</v>
      </c>
      <c r="F61" s="747">
        <f>F39</f>
        <v>5918.423375417438</v>
      </c>
      <c r="G61" s="747">
        <f>G39</f>
        <v>6094.598952806949</v>
      </c>
      <c r="H61" s="748">
        <f>H39</f>
        <v>6004.13095428405</v>
      </c>
      <c r="I61" s="713"/>
    </row>
    <row r="62" spans="1:9" ht="14.25">
      <c r="A62" s="743" t="s">
        <v>135</v>
      </c>
      <c r="B62" s="744"/>
      <c r="C62" s="745"/>
      <c r="D62" s="746">
        <f aca="true" t="shared" si="3" ref="D62:H64">D45</f>
        <v>8493.69779681</v>
      </c>
      <c r="E62" s="747">
        <f t="shared" si="3"/>
        <v>11049.919943013332</v>
      </c>
      <c r="F62" s="747">
        <f t="shared" si="3"/>
        <v>11425.501208683334</v>
      </c>
      <c r="G62" s="747">
        <f t="shared" si="3"/>
        <v>11381.178764353333</v>
      </c>
      <c r="H62" s="748">
        <f t="shared" si="3"/>
        <v>10462.92585312</v>
      </c>
      <c r="I62" s="713"/>
    </row>
    <row r="63" spans="1:9" ht="14.25">
      <c r="A63" s="743" t="s">
        <v>259</v>
      </c>
      <c r="B63" s="744"/>
      <c r="C63" s="745"/>
      <c r="D63" s="746">
        <f t="shared" si="3"/>
        <v>5155.612281059999</v>
      </c>
      <c r="E63" s="747">
        <f t="shared" si="3"/>
        <v>6848.436302679999</v>
      </c>
      <c r="F63" s="747">
        <f t="shared" si="3"/>
        <v>6443.3603243</v>
      </c>
      <c r="G63" s="747">
        <f t="shared" si="3"/>
        <v>6104.61213592</v>
      </c>
      <c r="H63" s="748">
        <f t="shared" si="3"/>
        <v>5613.784345919999</v>
      </c>
      <c r="I63" s="713"/>
    </row>
    <row r="64" spans="1:9" ht="14.25">
      <c r="A64" s="743" t="s">
        <v>136</v>
      </c>
      <c r="B64" s="744"/>
      <c r="C64" s="745"/>
      <c r="D64" s="746">
        <f t="shared" si="3"/>
        <v>3338.08551575</v>
      </c>
      <c r="E64" s="747">
        <f t="shared" si="3"/>
        <v>4201.483640333333</v>
      </c>
      <c r="F64" s="747">
        <f t="shared" si="3"/>
        <v>4982.140884383333</v>
      </c>
      <c r="G64" s="747">
        <f t="shared" si="3"/>
        <v>5276.566628433334</v>
      </c>
      <c r="H64" s="748">
        <f t="shared" si="3"/>
        <v>4849.141507199999</v>
      </c>
      <c r="I64" s="713"/>
    </row>
    <row r="65" spans="1:8" ht="14.25">
      <c r="A65" s="743"/>
      <c r="B65" s="744"/>
      <c r="C65" s="745"/>
      <c r="D65" s="745"/>
      <c r="E65" s="750"/>
      <c r="F65" s="750"/>
      <c r="G65" s="750"/>
      <c r="H65" s="751"/>
    </row>
    <row r="66" spans="1:8" ht="15">
      <c r="A66" s="738" t="s">
        <v>282</v>
      </c>
      <c r="B66" s="752"/>
      <c r="C66" s="740"/>
      <c r="D66" s="753" t="s">
        <v>143</v>
      </c>
      <c r="E66" s="753" t="s">
        <v>245</v>
      </c>
      <c r="F66" s="753" t="s">
        <v>246</v>
      </c>
      <c r="G66" s="753" t="s">
        <v>247</v>
      </c>
      <c r="H66" s="754" t="s">
        <v>261</v>
      </c>
    </row>
    <row r="67" spans="1:13" ht="14.25">
      <c r="A67" s="755" t="s">
        <v>254</v>
      </c>
      <c r="B67" s="756"/>
      <c r="C67" s="745"/>
      <c r="D67" s="746">
        <f>+(D59*0.5+E59*0.5)</f>
        <v>46119.952000081714</v>
      </c>
      <c r="E67" s="746">
        <f aca="true" t="shared" si="4" ref="D67:G68">+(E59*0.5+F59*0.5)</f>
        <v>52484.287670449725</v>
      </c>
      <c r="F67" s="746">
        <f t="shared" si="4"/>
        <v>60109.485242349096</v>
      </c>
      <c r="G67" s="746">
        <f t="shared" si="4"/>
        <v>69722.94281661615</v>
      </c>
      <c r="H67" s="748"/>
      <c r="J67" s="713"/>
      <c r="K67" s="713"/>
      <c r="L67" s="713"/>
      <c r="M67" s="713"/>
    </row>
    <row r="68" spans="1:8" ht="14.25">
      <c r="A68" s="757" t="s">
        <v>256</v>
      </c>
      <c r="B68" s="756"/>
      <c r="C68" s="745"/>
      <c r="D68" s="746">
        <f t="shared" si="4"/>
        <v>0</v>
      </c>
      <c r="E68" s="746">
        <f t="shared" si="4"/>
        <v>0</v>
      </c>
      <c r="F68" s="758"/>
      <c r="G68" s="746">
        <f t="shared" si="4"/>
        <v>26841.777626595</v>
      </c>
      <c r="H68" s="748"/>
    </row>
    <row r="69" spans="1:8" ht="14.25">
      <c r="A69" s="755" t="s">
        <v>89</v>
      </c>
      <c r="B69" s="756"/>
      <c r="C69" s="745"/>
      <c r="D69" s="746">
        <f>+(D61*0.5+E61*0.5)</f>
        <v>3584.8521820704004</v>
      </c>
      <c r="E69" s="746">
        <f>+(E61*0.5+F61*0.5)</f>
        <v>5025.858079350421</v>
      </c>
      <c r="F69" s="746">
        <f>+(F61*0.5+G61*0.5)</f>
        <v>6006.511164112193</v>
      </c>
      <c r="G69" s="746">
        <f>+(G61*0.5+H61*0.5)</f>
        <v>6049.364953545499</v>
      </c>
      <c r="H69" s="748"/>
    </row>
    <row r="70" spans="1:8" ht="14.25">
      <c r="A70" s="755" t="s">
        <v>135</v>
      </c>
      <c r="B70" s="756"/>
      <c r="C70" s="745"/>
      <c r="D70" s="746">
        <f>+D71+D72</f>
        <v>9771.808869911665</v>
      </c>
      <c r="E70" s="746">
        <f>+E71+E72</f>
        <v>11237.710575848332</v>
      </c>
      <c r="F70" s="746">
        <f>+F71+F72</f>
        <v>11403.339986518335</v>
      </c>
      <c r="G70" s="746">
        <f>+G71+G72</f>
        <v>10922.052308736666</v>
      </c>
      <c r="H70" s="748"/>
    </row>
    <row r="71" spans="1:9" ht="14.25">
      <c r="A71" s="743" t="s">
        <v>146</v>
      </c>
      <c r="B71" s="756"/>
      <c r="C71" s="745"/>
      <c r="D71" s="746">
        <f aca="true" t="shared" si="5" ref="D71:G72">+(D63*0.5+E63*0.5)</f>
        <v>6002.024291869999</v>
      </c>
      <c r="E71" s="746">
        <f t="shared" si="5"/>
        <v>6645.898313489999</v>
      </c>
      <c r="F71" s="746">
        <f t="shared" si="5"/>
        <v>6273.98623011</v>
      </c>
      <c r="G71" s="746">
        <f t="shared" si="5"/>
        <v>5859.198240919999</v>
      </c>
      <c r="H71" s="748"/>
      <c r="I71" s="759"/>
    </row>
    <row r="72" spans="1:8" ht="14.25">
      <c r="A72" s="760" t="s">
        <v>136</v>
      </c>
      <c r="B72" s="761"/>
      <c r="C72" s="762"/>
      <c r="D72" s="763">
        <f t="shared" si="5"/>
        <v>3769.7845780416665</v>
      </c>
      <c r="E72" s="763">
        <f t="shared" si="5"/>
        <v>4591.812262358333</v>
      </c>
      <c r="F72" s="763">
        <f t="shared" si="5"/>
        <v>5129.3537564083335</v>
      </c>
      <c r="G72" s="763">
        <f t="shared" si="5"/>
        <v>5062.854067816666</v>
      </c>
      <c r="H72" s="764"/>
    </row>
    <row r="73" spans="1:8" ht="14.25">
      <c r="A73" s="743"/>
      <c r="B73" s="744"/>
      <c r="C73" s="745"/>
      <c r="D73" s="745"/>
      <c r="E73" s="750"/>
      <c r="F73" s="750"/>
      <c r="G73" s="750"/>
      <c r="H73" s="751"/>
    </row>
    <row r="74" spans="1:16" ht="14.25">
      <c r="A74" s="755" t="s">
        <v>93</v>
      </c>
      <c r="B74" s="744"/>
      <c r="C74" s="745"/>
      <c r="D74" s="765">
        <f>1/(1+$C$8/2)</f>
        <v>0.9622323791195574</v>
      </c>
      <c r="E74" s="766">
        <f>D74/(1+$C$8)</f>
        <v>0.8921950664066364</v>
      </c>
      <c r="F74" s="766">
        <f>E74/(1+$C$8)</f>
        <v>0.8272555089537658</v>
      </c>
      <c r="G74" s="766">
        <f>F74/(1+$C$8)</f>
        <v>0.7670426601333016</v>
      </c>
      <c r="H74" s="767"/>
      <c r="J74" s="768"/>
      <c r="K74" s="768"/>
      <c r="L74" s="769"/>
      <c r="M74" s="769"/>
      <c r="N74" s="769"/>
      <c r="O74" s="769"/>
      <c r="P74" s="768"/>
    </row>
    <row r="75" spans="1:16" ht="15" thickBot="1">
      <c r="A75" s="743"/>
      <c r="B75" s="744"/>
      <c r="C75" s="745"/>
      <c r="D75" s="745"/>
      <c r="E75" s="750"/>
      <c r="F75" s="750"/>
      <c r="G75" s="750"/>
      <c r="H75" s="751"/>
      <c r="J75" s="770"/>
      <c r="K75" s="768"/>
      <c r="L75" s="769"/>
      <c r="M75" s="769"/>
      <c r="N75" s="769"/>
      <c r="O75" s="769"/>
      <c r="P75" s="768"/>
    </row>
    <row r="76" spans="1:16" ht="15">
      <c r="A76" s="771" t="s">
        <v>262</v>
      </c>
      <c r="B76" s="772"/>
      <c r="C76" s="773" t="s">
        <v>95</v>
      </c>
      <c r="D76" s="774"/>
      <c r="E76" s="775"/>
      <c r="F76" s="774"/>
      <c r="G76" s="776"/>
      <c r="H76" s="777"/>
      <c r="J76" s="768"/>
      <c r="K76" s="768"/>
      <c r="L76" s="778"/>
      <c r="M76" s="778"/>
      <c r="N76" s="778"/>
      <c r="O76" s="778"/>
      <c r="P76" s="768"/>
    </row>
    <row r="77" spans="1:16" ht="15">
      <c r="A77" s="755" t="s">
        <v>254</v>
      </c>
      <c r="B77" s="744"/>
      <c r="C77" s="779">
        <f>SUM(D77:G77)</f>
        <v>194410.707998848</v>
      </c>
      <c r="D77" s="780">
        <f>+D$74*D67</f>
        <v>44378.111137918415</v>
      </c>
      <c r="E77" s="780">
        <f>+E$74*E67</f>
        <v>46826.2225234419</v>
      </c>
      <c r="F77" s="780">
        <f>+F$74*F67</f>
        <v>49725.902807108374</v>
      </c>
      <c r="G77" s="780">
        <f>+G$74*G67</f>
        <v>53480.47153037933</v>
      </c>
      <c r="H77" s="781">
        <f>+H$74*H67</f>
        <v>0</v>
      </c>
      <c r="J77" s="768"/>
      <c r="K77" s="768"/>
      <c r="L77" s="782"/>
      <c r="M77" s="782"/>
      <c r="N77" s="782"/>
      <c r="O77" s="782"/>
      <c r="P77" s="768"/>
    </row>
    <row r="78" spans="1:16" ht="14.25">
      <c r="A78" s="783" t="s">
        <v>283</v>
      </c>
      <c r="B78" s="744"/>
      <c r="C78" s="784">
        <f>SUM(D78:G78)</f>
        <v>161444.33406225743</v>
      </c>
      <c r="D78" s="785">
        <f>+D77*'[9]ACTIVOS'!$G$138/'[9]ACTIVOS'!$G$140</f>
        <v>36852.8805504095</v>
      </c>
      <c r="E78" s="785">
        <f>+E77*'[9]ACTIVOS'!$G$138/'[9]ACTIVOS'!$G$140</f>
        <v>38885.863797136895</v>
      </c>
      <c r="F78" s="785">
        <f>+F77*'[9]ACTIVOS'!$G$138/'[9]ACTIVOS'!$G$140</f>
        <v>41293.84305511463</v>
      </c>
      <c r="G78" s="785">
        <f>+G77*'[9]ACTIVOS'!$G$138/'[9]ACTIVOS'!$G$140</f>
        <v>44411.74665959639</v>
      </c>
      <c r="H78" s="781"/>
      <c r="J78" s="768"/>
      <c r="K78" s="768"/>
      <c r="L78" s="782"/>
      <c r="M78" s="782"/>
      <c r="N78" s="782"/>
      <c r="O78" s="782"/>
      <c r="P78" s="768"/>
    </row>
    <row r="79" spans="1:16" ht="14.25">
      <c r="A79" s="783" t="s">
        <v>284</v>
      </c>
      <c r="B79" s="744"/>
      <c r="C79" s="784">
        <f>SUM(D79:G79)</f>
        <v>32966.37393659058</v>
      </c>
      <c r="D79" s="785">
        <f>+D77*'[9]ACTIVOS'!$G$139/'[9]ACTIVOS'!$G$140</f>
        <v>7525.230587508908</v>
      </c>
      <c r="E79" s="785">
        <f>+E77*'[9]ACTIVOS'!$G$139/'[9]ACTIVOS'!$G$140</f>
        <v>7940.3587263049985</v>
      </c>
      <c r="F79" s="785">
        <f>+F77*'[9]ACTIVOS'!$G$139/'[9]ACTIVOS'!$G$140</f>
        <v>8432.05975199374</v>
      </c>
      <c r="G79" s="785">
        <f>+G77*'[9]ACTIVOS'!$G$139/'[9]ACTIVOS'!$G$140</f>
        <v>9068.724870782933</v>
      </c>
      <c r="H79" s="781"/>
      <c r="J79" s="768"/>
      <c r="K79" s="768"/>
      <c r="L79" s="782"/>
      <c r="M79" s="782"/>
      <c r="N79" s="782"/>
      <c r="O79" s="782"/>
      <c r="P79" s="768"/>
    </row>
    <row r="80" spans="1:16" ht="13.5" customHeight="1">
      <c r="A80" s="757" t="s">
        <v>256</v>
      </c>
      <c r="B80" s="744"/>
      <c r="C80" s="786"/>
      <c r="D80" s="780"/>
      <c r="E80" s="780"/>
      <c r="F80" s="780"/>
      <c r="G80" s="780"/>
      <c r="H80" s="781"/>
      <c r="J80" s="768"/>
      <c r="K80" s="768"/>
      <c r="L80" s="782"/>
      <c r="M80" s="782"/>
      <c r="N80" s="782"/>
      <c r="O80" s="782"/>
      <c r="P80" s="768"/>
    </row>
    <row r="81" spans="1:16" ht="15">
      <c r="A81" s="783" t="s">
        <v>263</v>
      </c>
      <c r="B81" s="744"/>
      <c r="C81" s="786">
        <f>SUM(D81:G81)</f>
        <v>20588.788513409967</v>
      </c>
      <c r="D81" s="780">
        <f>+D68*D74</f>
        <v>0</v>
      </c>
      <c r="E81" s="780">
        <f>+E68*E74</f>
        <v>0</v>
      </c>
      <c r="F81" s="780">
        <f>+F68*F74</f>
        <v>0</v>
      </c>
      <c r="G81" s="780">
        <f>+G68*G74</f>
        <v>20588.788513409967</v>
      </c>
      <c r="H81" s="781"/>
      <c r="J81" s="768"/>
      <c r="K81" s="768"/>
      <c r="L81" s="782"/>
      <c r="M81" s="782"/>
      <c r="N81" s="782"/>
      <c r="O81" s="782"/>
      <c r="P81" s="768"/>
    </row>
    <row r="82" spans="1:16" ht="15">
      <c r="A82" s="755" t="s">
        <v>89</v>
      </c>
      <c r="B82" s="744"/>
      <c r="C82" s="787">
        <f>SUM(D82:G82)</f>
        <v>17542.54706299073</v>
      </c>
      <c r="D82" s="788">
        <f>+D$74*D69</f>
        <v>3449.4608439455383</v>
      </c>
      <c r="E82" s="788">
        <f>+E$74*E69</f>
        <v>4484.0457828563785</v>
      </c>
      <c r="F82" s="788">
        <f>+F$74*F69</f>
        <v>4968.919450104108</v>
      </c>
      <c r="G82" s="788">
        <f>+G$74*G69</f>
        <v>4640.120986084706</v>
      </c>
      <c r="H82" s="781">
        <f>+H$74*H69</f>
        <v>0</v>
      </c>
      <c r="J82" s="770"/>
      <c r="K82" s="768"/>
      <c r="L82" s="789"/>
      <c r="M82" s="789"/>
      <c r="N82" s="789"/>
      <c r="O82" s="789"/>
      <c r="P82" s="768"/>
    </row>
    <row r="83" spans="1:16" ht="15">
      <c r="A83" s="755" t="s">
        <v>135</v>
      </c>
      <c r="B83" s="744"/>
      <c r="C83" s="786">
        <f>SUM(D83:G83)</f>
        <v>37240.13671200275</v>
      </c>
      <c r="D83" s="788">
        <f>+D84+D85</f>
        <v>9402.750897196694</v>
      </c>
      <c r="E83" s="788">
        <f>+E84+E85</f>
        <v>10026.229933477563</v>
      </c>
      <c r="F83" s="788">
        <f>+F84+F85</f>
        <v>9433.475824320052</v>
      </c>
      <c r="G83" s="788">
        <f>+G84+G85</f>
        <v>8377.68005700844</v>
      </c>
      <c r="H83" s="781">
        <f>+H84+H85</f>
        <v>0</v>
      </c>
      <c r="J83" s="768"/>
      <c r="K83" s="768"/>
      <c r="L83" s="790"/>
      <c r="M83" s="790"/>
      <c r="N83" s="790"/>
      <c r="O83" s="790"/>
      <c r="P83" s="768"/>
    </row>
    <row r="84" spans="1:16" ht="14.25">
      <c r="A84" s="783" t="s">
        <v>146</v>
      </c>
      <c r="B84" s="744"/>
      <c r="C84" s="746">
        <f>SUM(D84:G84)</f>
        <v>21389.224477957614</v>
      </c>
      <c r="D84" s="788">
        <f aca="true" t="shared" si="6" ref="D84:H85">+D$74*D71</f>
        <v>5775.342113899445</v>
      </c>
      <c r="E84" s="788">
        <f t="shared" si="6"/>
        <v>5929.437687135963</v>
      </c>
      <c r="F84" s="788">
        <f t="shared" si="6"/>
        <v>5190.189671958567</v>
      </c>
      <c r="G84" s="788">
        <f t="shared" si="6"/>
        <v>4494.2550049636375</v>
      </c>
      <c r="H84" s="781">
        <f t="shared" si="6"/>
        <v>0</v>
      </c>
      <c r="J84" s="770"/>
      <c r="K84" s="768"/>
      <c r="L84" s="791"/>
      <c r="M84" s="791"/>
      <c r="N84" s="791"/>
      <c r="O84" s="791"/>
      <c r="P84" s="768"/>
    </row>
    <row r="85" spans="1:16" ht="14.25">
      <c r="A85" s="783" t="s">
        <v>136</v>
      </c>
      <c r="B85" s="744"/>
      <c r="C85" s="746">
        <f>SUM(D85:G85)</f>
        <v>15850.912234045138</v>
      </c>
      <c r="D85" s="788">
        <f t="shared" si="6"/>
        <v>3627.4087832972496</v>
      </c>
      <c r="E85" s="788">
        <f t="shared" si="6"/>
        <v>4096.7922463416</v>
      </c>
      <c r="F85" s="788">
        <f t="shared" si="6"/>
        <v>4243.2861523614865</v>
      </c>
      <c r="G85" s="788">
        <f t="shared" si="6"/>
        <v>3883.4250520448027</v>
      </c>
      <c r="H85" s="781">
        <f t="shared" si="6"/>
        <v>0</v>
      </c>
      <c r="J85" s="768"/>
      <c r="K85" s="768"/>
      <c r="L85" s="768"/>
      <c r="M85" s="768"/>
      <c r="N85" s="768"/>
      <c r="O85" s="768"/>
      <c r="P85" s="768"/>
    </row>
    <row r="86" spans="1:16" ht="15.75" thickBot="1">
      <c r="A86" s="792" t="s">
        <v>12</v>
      </c>
      <c r="B86" s="793"/>
      <c r="C86" s="794">
        <f>C77+C81+C82+C83</f>
        <v>269782.1802872514</v>
      </c>
      <c r="D86" s="795">
        <f>D77+D81+D82+D83</f>
        <v>57230.32287906065</v>
      </c>
      <c r="E86" s="795">
        <f>E77+E81+E82+E83</f>
        <v>61336.49823977584</v>
      </c>
      <c r="F86" s="795">
        <f>F77+F81+F82+F83</f>
        <v>64128.29808153253</v>
      </c>
      <c r="G86" s="795">
        <f>G77+G81+G82+G83</f>
        <v>87087.06108688244</v>
      </c>
      <c r="H86" s="796">
        <f>H77+H82+H83</f>
        <v>0</v>
      </c>
      <c r="J86" s="797"/>
      <c r="K86" s="768"/>
      <c r="L86" s="798"/>
      <c r="M86" s="798"/>
      <c r="N86" s="798"/>
      <c r="O86" s="798"/>
      <c r="P86" s="768"/>
    </row>
    <row r="87" spans="1:16" ht="12.75">
      <c r="A87" s="730"/>
      <c r="B87" s="731"/>
      <c r="C87" s="799"/>
      <c r="D87" s="800"/>
      <c r="E87" s="731"/>
      <c r="F87" s="800"/>
      <c r="G87" s="800"/>
      <c r="H87" s="800"/>
      <c r="J87" s="770"/>
      <c r="K87" s="768"/>
      <c r="L87" s="768"/>
      <c r="M87" s="768"/>
      <c r="N87" s="768"/>
      <c r="O87" s="768"/>
      <c r="P87" s="768"/>
    </row>
    <row r="88" spans="1:16" ht="15.75" thickBot="1">
      <c r="A88" s="660" t="s">
        <v>97</v>
      </c>
      <c r="B88" s="660"/>
      <c r="C88" s="794">
        <v>269782</v>
      </c>
      <c r="D88" s="660"/>
      <c r="E88" s="660"/>
      <c r="F88" s="660"/>
      <c r="G88" s="660"/>
      <c r="H88" s="801"/>
      <c r="J88" s="802"/>
      <c r="K88" s="768"/>
      <c r="L88" s="768"/>
      <c r="M88" s="768"/>
      <c r="N88" s="768"/>
      <c r="O88" s="768"/>
      <c r="P88" s="768"/>
    </row>
    <row r="89" spans="1:16" ht="12.75">
      <c r="A89" s="699" t="s">
        <v>285</v>
      </c>
      <c r="B89" s="660"/>
      <c r="C89" s="660"/>
      <c r="D89" s="801"/>
      <c r="E89" s="801"/>
      <c r="F89" s="801"/>
      <c r="G89" s="801"/>
      <c r="H89" s="801"/>
      <c r="J89" s="802"/>
      <c r="K89" s="768"/>
      <c r="L89" s="768"/>
      <c r="M89" s="768"/>
      <c r="N89" s="768"/>
      <c r="O89" s="768"/>
      <c r="P89" s="768"/>
    </row>
    <row r="90" spans="2:16" ht="13.5" thickBot="1">
      <c r="B90" s="768"/>
      <c r="C90" s="803"/>
      <c r="D90" s="335" t="s">
        <v>286</v>
      </c>
      <c r="I90" s="768"/>
      <c r="K90" s="768"/>
      <c r="L90" s="768"/>
      <c r="M90" s="768"/>
      <c r="N90" s="768"/>
      <c r="O90" s="768"/>
      <c r="P90" s="768"/>
    </row>
    <row r="91" spans="4:13" ht="12.75">
      <c r="D91" s="804" t="s">
        <v>287</v>
      </c>
      <c r="E91" s="805" t="s">
        <v>288</v>
      </c>
      <c r="F91" s="805" t="s">
        <v>289</v>
      </c>
      <c r="G91" s="806" t="s">
        <v>290</v>
      </c>
      <c r="L91" s="693"/>
      <c r="M91" s="807"/>
    </row>
    <row r="92" spans="1:15" ht="21" customHeight="1" thickBot="1">
      <c r="A92" s="1103" t="s">
        <v>291</v>
      </c>
      <c r="B92" s="1104"/>
      <c r="D92" s="808">
        <f>+D74</f>
        <v>0.9622323791195574</v>
      </c>
      <c r="E92" s="809">
        <f>+E74</f>
        <v>0.8921950664066364</v>
      </c>
      <c r="F92" s="809">
        <f>+F74</f>
        <v>0.8272555089537658</v>
      </c>
      <c r="G92" s="810">
        <f>+G74</f>
        <v>0.7670426601333016</v>
      </c>
      <c r="L92" s="1105"/>
      <c r="M92" s="1105"/>
      <c r="N92" s="1105"/>
      <c r="O92" s="1105"/>
    </row>
    <row r="93" spans="1:15" ht="18.75" customHeight="1">
      <c r="A93" s="811" t="s">
        <v>292</v>
      </c>
      <c r="B93" s="812">
        <f>+C82</f>
        <v>17542.54706299073</v>
      </c>
      <c r="C93" s="813"/>
      <c r="D93" s="813"/>
      <c r="E93" s="813"/>
      <c r="L93" s="692"/>
      <c r="M93" s="692"/>
      <c r="N93" s="692"/>
      <c r="O93" s="692"/>
    </row>
    <row r="94" spans="1:15" ht="18.75" customHeight="1">
      <c r="A94" s="811" t="s">
        <v>293</v>
      </c>
      <c r="B94" s="814">
        <f>+E98*D92+F98*E92+G98*F92+H98*G92</f>
        <v>28308.780716592883</v>
      </c>
      <c r="C94" s="813"/>
      <c r="D94" s="813"/>
      <c r="E94" s="815">
        <v>2013</v>
      </c>
      <c r="F94" s="816">
        <v>2014</v>
      </c>
      <c r="G94" s="815">
        <v>2015</v>
      </c>
      <c r="H94" s="816">
        <v>2016</v>
      </c>
      <c r="I94" s="815">
        <v>2017</v>
      </c>
      <c r="L94" s="692"/>
      <c r="M94" s="692"/>
      <c r="N94" s="692"/>
      <c r="O94" s="692"/>
    </row>
    <row r="95" spans="1:15" ht="21" customHeight="1">
      <c r="A95" s="817" t="s">
        <v>294</v>
      </c>
      <c r="B95" s="818">
        <f>+B93/B94</f>
        <v>0.6196857165490125</v>
      </c>
      <c r="C95" s="813"/>
      <c r="D95" s="816" t="s">
        <v>295</v>
      </c>
      <c r="E95" s="819">
        <f>+D40+D41+(C19+D23)*$C$8+(C19+D23)*3%</f>
        <v>6028.14470507931</v>
      </c>
      <c r="F95" s="819">
        <f>+E40+E41+(D19+E23)*$C$8+(D19+E23)*3%</f>
        <v>7192.188797962523</v>
      </c>
      <c r="G95" s="819">
        <f>+F40+F41+(E19+F23)*$C$8+(E19+F23)*3%</f>
        <v>9166.546725882228</v>
      </c>
      <c r="H95" s="819">
        <f>+G40+G41+(F19+G23)*$C$8+(F19+G23)*3%</f>
        <v>9186.088550699747</v>
      </c>
      <c r="I95" s="819">
        <f>+H40+H41+(G19+H23)*$C$8+(G19+H23)*3%</f>
        <v>9221.005922962522</v>
      </c>
      <c r="L95" s="692"/>
      <c r="M95" s="692"/>
      <c r="N95" s="692"/>
      <c r="O95" s="692"/>
    </row>
    <row r="96" spans="3:15" ht="12.75">
      <c r="C96" s="813"/>
      <c r="L96" s="692"/>
      <c r="M96" s="692"/>
      <c r="N96" s="692"/>
      <c r="O96" s="692"/>
    </row>
    <row r="97" spans="3:17" ht="12.75">
      <c r="C97" s="768"/>
      <c r="E97" s="820" t="s">
        <v>143</v>
      </c>
      <c r="F97" s="816" t="s">
        <v>245</v>
      </c>
      <c r="G97" s="816" t="s">
        <v>246</v>
      </c>
      <c r="H97" s="816" t="s">
        <v>247</v>
      </c>
      <c r="I97" s="821"/>
      <c r="K97" s="821"/>
      <c r="L97" s="821"/>
      <c r="M97" s="821"/>
      <c r="N97" s="821"/>
      <c r="O97" s="821"/>
      <c r="P97" s="821"/>
      <c r="Q97" s="821"/>
    </row>
    <row r="98" spans="3:17" ht="12.75">
      <c r="C98" s="768"/>
      <c r="D98" s="816" t="s">
        <v>295</v>
      </c>
      <c r="E98" s="819">
        <f>+E95*0.5+F95*0.5</f>
        <v>6610.1667515209165</v>
      </c>
      <c r="F98" s="819">
        <f>+F95*0.5+G95*0.5</f>
        <v>8179.367761922375</v>
      </c>
      <c r="G98" s="819">
        <f>+G95*0.5+H95*0.5</f>
        <v>9176.317638290988</v>
      </c>
      <c r="H98" s="819">
        <f>+H95*0.5+I95*0.5</f>
        <v>9203.547236831135</v>
      </c>
      <c r="I98" s="821"/>
      <c r="K98" s="821"/>
      <c r="L98" s="821"/>
      <c r="M98" s="821"/>
      <c r="N98" s="821"/>
      <c r="O98" s="821"/>
      <c r="P98" s="821"/>
      <c r="Q98" s="821"/>
    </row>
    <row r="99" spans="3:17" ht="12.75">
      <c r="C99" s="768"/>
      <c r="D99" s="822"/>
      <c r="E99" s="823"/>
      <c r="F99" s="823"/>
      <c r="G99" s="823"/>
      <c r="H99" s="823"/>
      <c r="I99" s="821"/>
      <c r="K99" s="821"/>
      <c r="L99" s="821"/>
      <c r="M99" s="821"/>
      <c r="N99" s="821"/>
      <c r="O99" s="821"/>
      <c r="P99" s="821"/>
      <c r="Q99" s="821"/>
    </row>
    <row r="100" spans="3:17" ht="12.75">
      <c r="C100" s="768"/>
      <c r="D100" s="822"/>
      <c r="E100" s="823"/>
      <c r="F100" s="823"/>
      <c r="G100" s="823"/>
      <c r="H100" s="823"/>
      <c r="I100" s="821"/>
      <c r="K100" s="821"/>
      <c r="L100" s="821"/>
      <c r="M100" s="821"/>
      <c r="N100" s="821"/>
      <c r="O100" s="821"/>
      <c r="P100" s="821"/>
      <c r="Q100" s="821"/>
    </row>
    <row r="101" spans="3:17" ht="12.75">
      <c r="C101" s="768"/>
      <c r="D101" s="822"/>
      <c r="E101" s="823"/>
      <c r="F101" s="823"/>
      <c r="G101" s="823"/>
      <c r="H101" s="823"/>
      <c r="I101" s="821"/>
      <c r="K101" s="821"/>
      <c r="L101" s="821"/>
      <c r="M101" s="821"/>
      <c r="N101" s="821"/>
      <c r="O101" s="821"/>
      <c r="P101" s="821"/>
      <c r="Q101" s="821"/>
    </row>
    <row r="102" spans="3:17" ht="12.75">
      <c r="C102" s="768"/>
      <c r="D102" s="822"/>
      <c r="E102" s="823"/>
      <c r="F102" s="823"/>
      <c r="G102" s="823"/>
      <c r="H102" s="823"/>
      <c r="I102" s="821"/>
      <c r="K102" s="821"/>
      <c r="L102" s="821"/>
      <c r="M102" s="821"/>
      <c r="N102" s="821"/>
      <c r="O102" s="821"/>
      <c r="P102" s="821"/>
      <c r="Q102" s="821"/>
    </row>
    <row r="103" spans="3:17" ht="13.5" thickBot="1">
      <c r="C103" s="768"/>
      <c r="D103" s="822"/>
      <c r="E103" s="823"/>
      <c r="F103" s="823"/>
      <c r="G103" s="823"/>
      <c r="H103" s="823"/>
      <c r="I103" s="821"/>
      <c r="K103" s="821"/>
      <c r="L103" s="821"/>
      <c r="M103" s="821"/>
      <c r="N103" s="821"/>
      <c r="O103" s="821"/>
      <c r="P103" s="821"/>
      <c r="Q103" s="821"/>
    </row>
    <row r="104" spans="2:17" ht="45.75" customHeight="1" thickBot="1">
      <c r="B104" s="1106" t="str">
        <f>+D95</f>
        <v>IPCvnri</v>
      </c>
      <c r="C104" s="1107"/>
      <c r="D104" s="1108"/>
      <c r="E104" s="824">
        <v>2013</v>
      </c>
      <c r="F104" s="825">
        <v>2014</v>
      </c>
      <c r="G104" s="826">
        <v>2015</v>
      </c>
      <c r="H104" s="825">
        <v>2016</v>
      </c>
      <c r="I104" s="826">
        <v>2017</v>
      </c>
      <c r="K104" s="821"/>
      <c r="L104" s="821"/>
      <c r="M104" s="821"/>
      <c r="N104" s="821"/>
      <c r="O104" s="821"/>
      <c r="P104" s="821"/>
      <c r="Q104" s="821"/>
    </row>
    <row r="105" spans="2:17" ht="20.25" customHeight="1">
      <c r="B105" s="827"/>
      <c r="C105" s="828"/>
      <c r="D105" s="828"/>
      <c r="E105" s="828"/>
      <c r="F105" s="829"/>
      <c r="G105" s="829"/>
      <c r="H105" s="829"/>
      <c r="I105" s="830"/>
      <c r="K105" s="821"/>
      <c r="L105" s="821"/>
      <c r="M105" s="821"/>
      <c r="N105" s="821"/>
      <c r="O105" s="821"/>
      <c r="P105" s="821"/>
      <c r="Q105" s="821"/>
    </row>
    <row r="106" spans="2:17" ht="12.75">
      <c r="B106" s="831" t="str">
        <f>+A16</f>
        <v>ACTIVOS EFICIENTES (al final del año - VNR)</v>
      </c>
      <c r="C106" s="357"/>
      <c r="D106" s="357"/>
      <c r="E106" s="357"/>
      <c r="F106" s="823"/>
      <c r="G106" s="823"/>
      <c r="H106" s="823"/>
      <c r="I106" s="832"/>
      <c r="K106" s="821"/>
      <c r="L106" s="821"/>
      <c r="M106" s="821"/>
      <c r="N106" s="821"/>
      <c r="O106" s="821"/>
      <c r="P106" s="821"/>
      <c r="Q106" s="821"/>
    </row>
    <row r="107" spans="2:17" ht="12.75">
      <c r="B107" s="833"/>
      <c r="C107" s="356" t="str">
        <f>+A19</f>
        <v>ACTCTef (Conexión)</v>
      </c>
      <c r="D107" s="822"/>
      <c r="E107" s="823">
        <f>+C19</f>
        <v>39500.375681231126</v>
      </c>
      <c r="F107" s="823">
        <f>+D19</f>
        <v>47826.375681231126</v>
      </c>
      <c r="G107" s="823">
        <f>+E19</f>
        <v>58699.72604619463</v>
      </c>
      <c r="H107" s="823">
        <f>+F19</f>
        <v>67571.11290750849</v>
      </c>
      <c r="I107" s="834">
        <f>+G19</f>
        <v>67851.40487831141</v>
      </c>
      <c r="K107" s="821"/>
      <c r="L107" s="821"/>
      <c r="M107" s="821"/>
      <c r="N107" s="821"/>
      <c r="O107" s="821"/>
      <c r="P107" s="821"/>
      <c r="Q107" s="821"/>
    </row>
    <row r="108" spans="2:9" ht="12.75">
      <c r="B108" s="831" t="str">
        <f>+A20</f>
        <v>ACTIVOS INCORPORADOS PARCIALMENTE</v>
      </c>
      <c r="C108" s="357"/>
      <c r="D108" s="357"/>
      <c r="E108" s="357"/>
      <c r="F108" s="357"/>
      <c r="G108" s="357"/>
      <c r="H108" s="357"/>
      <c r="I108" s="835"/>
    </row>
    <row r="109" spans="2:17" ht="15.75" thickBot="1">
      <c r="B109" s="833"/>
      <c r="C109" s="356" t="str">
        <f>+A23</f>
        <v>ACTCTef (Conexión)</v>
      </c>
      <c r="D109" s="822"/>
      <c r="E109" s="836">
        <f>+D23</f>
        <v>4856.833333333333</v>
      </c>
      <c r="F109" s="836">
        <f>+E23</f>
        <v>5096.279197080292</v>
      </c>
      <c r="G109" s="836">
        <f>+F23</f>
        <v>8750.948905109488</v>
      </c>
      <c r="H109" s="836">
        <f>+G23</f>
        <v>23.35766423357664</v>
      </c>
      <c r="I109" s="837">
        <f>+H23</f>
        <v>0</v>
      </c>
      <c r="K109" s="821"/>
      <c r="L109" s="821"/>
      <c r="M109" s="821"/>
      <c r="N109" s="821"/>
      <c r="O109" s="821"/>
      <c r="P109" s="821"/>
      <c r="Q109" s="821"/>
    </row>
    <row r="110" spans="2:17" ht="13.5" thickBot="1">
      <c r="B110" s="833"/>
      <c r="C110" s="838" t="s">
        <v>296</v>
      </c>
      <c r="D110" s="839"/>
      <c r="E110" s="840">
        <f>+E107+E109</f>
        <v>44357.20901456446</v>
      </c>
      <c r="F110" s="840">
        <f>+F107+F109</f>
        <v>52922.65487831142</v>
      </c>
      <c r="G110" s="840">
        <f>+G107+G109</f>
        <v>67450.67495130411</v>
      </c>
      <c r="H110" s="840">
        <f>+H107+H109</f>
        <v>67594.47057174207</v>
      </c>
      <c r="I110" s="841">
        <f>+I107+I109</f>
        <v>67851.40487831141</v>
      </c>
      <c r="K110" s="821"/>
      <c r="L110" s="821"/>
      <c r="M110" s="821"/>
      <c r="N110" s="821"/>
      <c r="O110" s="821"/>
      <c r="P110" s="821"/>
      <c r="Q110" s="821"/>
    </row>
    <row r="111" spans="2:17" ht="12.75">
      <c r="B111" s="833"/>
      <c r="C111" s="356" t="s">
        <v>297</v>
      </c>
      <c r="D111" s="822"/>
      <c r="E111" s="823"/>
      <c r="F111" s="823"/>
      <c r="G111" s="823"/>
      <c r="H111" s="823"/>
      <c r="I111" s="834"/>
      <c r="K111" s="821"/>
      <c r="L111" s="821"/>
      <c r="M111" s="821"/>
      <c r="N111" s="821"/>
      <c r="O111" s="821"/>
      <c r="P111" s="821"/>
      <c r="Q111" s="821"/>
    </row>
    <row r="112" spans="2:17" ht="12.75">
      <c r="B112" s="833"/>
      <c r="C112" s="356" t="s">
        <v>298</v>
      </c>
      <c r="D112" s="822"/>
      <c r="E112" s="842">
        <f>+C8</f>
        <v>0.0785</v>
      </c>
      <c r="F112" s="842">
        <f>+E112</f>
        <v>0.0785</v>
      </c>
      <c r="G112" s="842">
        <f>+F112</f>
        <v>0.0785</v>
      </c>
      <c r="H112" s="842">
        <f>+G112</f>
        <v>0.0785</v>
      </c>
      <c r="I112" s="843">
        <f>+H112</f>
        <v>0.0785</v>
      </c>
      <c r="K112" s="821"/>
      <c r="L112" s="821"/>
      <c r="M112" s="821"/>
      <c r="N112" s="821"/>
      <c r="O112" s="821"/>
      <c r="P112" s="821"/>
      <c r="Q112" s="821"/>
    </row>
    <row r="113" spans="2:17" ht="13.5" thickBot="1">
      <c r="B113" s="833"/>
      <c r="C113" s="356"/>
      <c r="D113" s="822"/>
      <c r="E113" s="823"/>
      <c r="F113" s="823"/>
      <c r="G113" s="823"/>
      <c r="H113" s="823"/>
      <c r="I113" s="834"/>
      <c r="K113" s="821"/>
      <c r="L113" s="821"/>
      <c r="M113" s="821"/>
      <c r="N113" s="821"/>
      <c r="O113" s="821"/>
      <c r="P113" s="821"/>
      <c r="Q113" s="821"/>
    </row>
    <row r="114" spans="2:17" ht="13.5" thickBot="1">
      <c r="B114" s="833"/>
      <c r="C114" s="838" t="s">
        <v>299</v>
      </c>
      <c r="D114" s="839"/>
      <c r="E114" s="844">
        <f>+E110*E112</f>
        <v>3482.04090764331</v>
      </c>
      <c r="F114" s="844">
        <f>+F110*F112</f>
        <v>4154.428407947446</v>
      </c>
      <c r="G114" s="844">
        <f>+G110*G112</f>
        <v>5294.877983677373</v>
      </c>
      <c r="H114" s="844">
        <f>+H110*H112</f>
        <v>5306.165939881753</v>
      </c>
      <c r="I114" s="845">
        <f>+I110*I112</f>
        <v>5326.335282947446</v>
      </c>
      <c r="K114" s="821"/>
      <c r="L114" s="821"/>
      <c r="M114" s="821"/>
      <c r="N114" s="821"/>
      <c r="O114" s="821"/>
      <c r="P114" s="821"/>
      <c r="Q114" s="821"/>
    </row>
    <row r="115" spans="2:17" ht="12.75">
      <c r="B115" s="833"/>
      <c r="C115" s="356"/>
      <c r="D115" s="822"/>
      <c r="E115" s="823"/>
      <c r="F115" s="823"/>
      <c r="G115" s="823"/>
      <c r="H115" s="823"/>
      <c r="I115" s="834"/>
      <c r="K115" s="821"/>
      <c r="L115" s="821"/>
      <c r="M115" s="821"/>
      <c r="N115" s="821"/>
      <c r="O115" s="821"/>
      <c r="P115" s="821"/>
      <c r="Q115" s="821"/>
    </row>
    <row r="116" spans="2:17" ht="12.75">
      <c r="B116" s="846" t="str">
        <f>+A25</f>
        <v xml:space="preserve"> INGRESOS MÁXIMOS PERMITIDOS</v>
      </c>
      <c r="C116" s="357"/>
      <c r="D116" s="822"/>
      <c r="E116" s="823"/>
      <c r="F116" s="823"/>
      <c r="G116" s="823"/>
      <c r="H116" s="823"/>
      <c r="I116" s="834"/>
      <c r="K116" s="821"/>
      <c r="L116" s="821"/>
      <c r="M116" s="821"/>
      <c r="N116" s="821"/>
      <c r="O116" s="821"/>
      <c r="P116" s="821"/>
      <c r="Q116" s="821"/>
    </row>
    <row r="117" spans="2:17" ht="12.75">
      <c r="B117" s="833"/>
      <c r="C117" s="847" t="str">
        <f>+A39</f>
        <v>CONEXIÓN</v>
      </c>
      <c r="D117" s="822"/>
      <c r="E117" s="823"/>
      <c r="F117" s="823"/>
      <c r="G117" s="823"/>
      <c r="H117" s="823"/>
      <c r="I117" s="834"/>
      <c r="K117" s="821"/>
      <c r="L117" s="821"/>
      <c r="M117" s="821"/>
      <c r="N117" s="821"/>
      <c r="O117" s="821"/>
      <c r="P117" s="821"/>
      <c r="Q117" s="821"/>
    </row>
    <row r="118" spans="2:17" ht="12.75">
      <c r="B118" s="833"/>
      <c r="C118" s="848" t="str">
        <f>+A40</f>
        <v>Operación y Mantenimiento</v>
      </c>
      <c r="D118" s="357"/>
      <c r="E118" s="823">
        <f>+D40</f>
        <v>949.2442729116794</v>
      </c>
      <c r="F118" s="823">
        <f aca="true" t="shared" si="7" ref="F118:I119">+E40</f>
        <v>1132.5448143958643</v>
      </c>
      <c r="G118" s="823">
        <f t="shared" si="7"/>
        <v>1443.4444439579079</v>
      </c>
      <c r="H118" s="823">
        <f t="shared" si="7"/>
        <v>1446.5216702352802</v>
      </c>
      <c r="I118" s="834">
        <f t="shared" si="7"/>
        <v>1452.0200643958642</v>
      </c>
      <c r="K118" s="821"/>
      <c r="L118" s="821"/>
      <c r="M118" s="821"/>
      <c r="N118" s="821"/>
      <c r="O118" s="821"/>
      <c r="P118" s="821"/>
      <c r="Q118" s="821"/>
    </row>
    <row r="119" spans="2:17" ht="15.75" thickBot="1">
      <c r="B119" s="833"/>
      <c r="C119" s="356" t="str">
        <f>+A41</f>
        <v>Administración</v>
      </c>
      <c r="D119" s="822"/>
      <c r="E119" s="836">
        <f>+D41</f>
        <v>266.14325408738677</v>
      </c>
      <c r="F119" s="836">
        <f t="shared" si="7"/>
        <v>317.5359292698685</v>
      </c>
      <c r="G119" s="836">
        <f t="shared" si="7"/>
        <v>404.7040497078247</v>
      </c>
      <c r="H119" s="836">
        <f t="shared" si="7"/>
        <v>405.5668234304525</v>
      </c>
      <c r="I119" s="837">
        <f t="shared" si="7"/>
        <v>407.1084292698685</v>
      </c>
      <c r="K119" s="821"/>
      <c r="L119" s="821"/>
      <c r="M119" s="821"/>
      <c r="N119" s="821"/>
      <c r="O119" s="821"/>
      <c r="P119" s="821"/>
      <c r="Q119" s="821"/>
    </row>
    <row r="120" spans="2:17" ht="13.5" thickBot="1">
      <c r="B120" s="833"/>
      <c r="C120" s="849" t="s">
        <v>296</v>
      </c>
      <c r="D120" s="839"/>
      <c r="E120" s="850">
        <f>+E118+E119</f>
        <v>1215.3875269990663</v>
      </c>
      <c r="F120" s="850">
        <f>+F118+F119</f>
        <v>1450.0807436657328</v>
      </c>
      <c r="G120" s="850">
        <f>+G118+G119</f>
        <v>1848.1484936657325</v>
      </c>
      <c r="H120" s="850">
        <f>+H118+H119</f>
        <v>1852.0884936657326</v>
      </c>
      <c r="I120" s="851">
        <f>+I118+I119</f>
        <v>1859.1284936657328</v>
      </c>
      <c r="K120" s="821"/>
      <c r="L120" s="821"/>
      <c r="M120" s="821"/>
      <c r="N120" s="821"/>
      <c r="O120" s="821"/>
      <c r="P120" s="821"/>
      <c r="Q120" s="821"/>
    </row>
    <row r="121" spans="2:17" ht="12.75">
      <c r="B121" s="833"/>
      <c r="C121" s="356"/>
      <c r="D121" s="822"/>
      <c r="E121" s="823"/>
      <c r="F121" s="823"/>
      <c r="G121" s="823"/>
      <c r="H121" s="823"/>
      <c r="I121" s="834"/>
      <c r="K121" s="821"/>
      <c r="L121" s="821"/>
      <c r="M121" s="821"/>
      <c r="N121" s="821"/>
      <c r="O121" s="821"/>
      <c r="P121" s="821"/>
      <c r="Q121" s="821"/>
    </row>
    <row r="122" spans="2:17" ht="12.75">
      <c r="B122" s="846" t="str">
        <f>+A16</f>
        <v>ACTIVOS EFICIENTES (al final del año - VNR)</v>
      </c>
      <c r="C122" s="357"/>
      <c r="D122" s="822"/>
      <c r="E122" s="823"/>
      <c r="F122" s="823"/>
      <c r="G122" s="823"/>
      <c r="H122" s="823"/>
      <c r="I122" s="834"/>
      <c r="K122" s="821"/>
      <c r="L122" s="821"/>
      <c r="M122" s="821"/>
      <c r="N122" s="821"/>
      <c r="O122" s="821"/>
      <c r="P122" s="821"/>
      <c r="Q122" s="821"/>
    </row>
    <row r="123" spans="2:17" ht="12.75">
      <c r="B123" s="833"/>
      <c r="C123" s="356" t="s">
        <v>300</v>
      </c>
      <c r="D123" s="822"/>
      <c r="E123" s="823"/>
      <c r="F123" s="823"/>
      <c r="G123" s="823"/>
      <c r="H123" s="823"/>
      <c r="I123" s="834"/>
      <c r="K123" s="821"/>
      <c r="L123" s="821"/>
      <c r="M123" s="821"/>
      <c r="N123" s="821"/>
      <c r="O123" s="821"/>
      <c r="P123" s="821"/>
      <c r="Q123" s="821"/>
    </row>
    <row r="124" spans="2:17" ht="12.75">
      <c r="B124" s="833"/>
      <c r="C124" s="356" t="str">
        <f>+A19</f>
        <v>ACTCTef (Conexión)</v>
      </c>
      <c r="D124" s="822"/>
      <c r="E124" s="823">
        <f>+C19</f>
        <v>39500.375681231126</v>
      </c>
      <c r="F124" s="823">
        <f>+D19</f>
        <v>47826.375681231126</v>
      </c>
      <c r="G124" s="823">
        <f>+E19</f>
        <v>58699.72604619463</v>
      </c>
      <c r="H124" s="823">
        <f>+F19</f>
        <v>67571.11290750849</v>
      </c>
      <c r="I124" s="834">
        <f>+G19</f>
        <v>67851.40487831141</v>
      </c>
      <c r="K124" s="821"/>
      <c r="L124" s="821"/>
      <c r="M124" s="821"/>
      <c r="N124" s="821"/>
      <c r="O124" s="821"/>
      <c r="P124" s="821"/>
      <c r="Q124" s="821"/>
    </row>
    <row r="125" spans="2:17" ht="12.75">
      <c r="B125" s="846" t="str">
        <f>+A20</f>
        <v>ACTIVOS INCORPORADOS PARCIALMENTE</v>
      </c>
      <c r="C125" s="357"/>
      <c r="D125" s="822"/>
      <c r="E125" s="823"/>
      <c r="F125" s="823"/>
      <c r="G125" s="823"/>
      <c r="H125" s="823"/>
      <c r="I125" s="834"/>
      <c r="K125" s="821"/>
      <c r="L125" s="821"/>
      <c r="M125" s="821"/>
      <c r="N125" s="821"/>
      <c r="O125" s="821"/>
      <c r="P125" s="821"/>
      <c r="Q125" s="821"/>
    </row>
    <row r="126" spans="2:17" ht="15">
      <c r="B126" s="833"/>
      <c r="C126" s="356" t="str">
        <f>+A23</f>
        <v>ACTCTef (Conexión)</v>
      </c>
      <c r="D126" s="822"/>
      <c r="E126" s="836">
        <f>+D23</f>
        <v>4856.833333333333</v>
      </c>
      <c r="F126" s="836">
        <f>+E23</f>
        <v>5096.279197080292</v>
      </c>
      <c r="G126" s="836">
        <f>+F23</f>
        <v>8750.948905109488</v>
      </c>
      <c r="H126" s="836">
        <f>+G23</f>
        <v>23.35766423357664</v>
      </c>
      <c r="I126" s="837">
        <f>+H23</f>
        <v>0</v>
      </c>
      <c r="K126" s="821"/>
      <c r="L126" s="821"/>
      <c r="M126" s="821"/>
      <c r="N126" s="821"/>
      <c r="O126" s="821"/>
      <c r="P126" s="821"/>
      <c r="Q126" s="821"/>
    </row>
    <row r="127" spans="2:17" ht="12.75">
      <c r="B127" s="833"/>
      <c r="C127" s="356"/>
      <c r="D127" s="822"/>
      <c r="E127" s="823">
        <f>+E124+E126</f>
        <v>44357.20901456446</v>
      </c>
      <c r="F127" s="823">
        <f>+F124+F126</f>
        <v>52922.65487831142</v>
      </c>
      <c r="G127" s="823">
        <f>+G124+G126</f>
        <v>67450.67495130411</v>
      </c>
      <c r="H127" s="823">
        <f>+H124+H126</f>
        <v>67594.47057174207</v>
      </c>
      <c r="I127" s="834">
        <f>+I124+I126</f>
        <v>67851.40487831141</v>
      </c>
      <c r="K127" s="821"/>
      <c r="L127" s="821"/>
      <c r="M127" s="821"/>
      <c r="N127" s="821"/>
      <c r="O127" s="821"/>
      <c r="P127" s="821"/>
      <c r="Q127" s="821"/>
    </row>
    <row r="128" spans="2:17" ht="12.75">
      <c r="B128" s="833"/>
      <c r="C128" s="356" t="s">
        <v>297</v>
      </c>
      <c r="D128" s="822"/>
      <c r="E128" s="823"/>
      <c r="F128" s="823"/>
      <c r="G128" s="823"/>
      <c r="H128" s="823"/>
      <c r="I128" s="834"/>
      <c r="K128" s="821"/>
      <c r="L128" s="821"/>
      <c r="M128" s="821"/>
      <c r="N128" s="821"/>
      <c r="O128" s="821"/>
      <c r="P128" s="821"/>
      <c r="Q128" s="821"/>
    </row>
    <row r="129" spans="2:17" ht="13.5" thickBot="1">
      <c r="B129" s="833"/>
      <c r="C129" s="356" t="s">
        <v>91</v>
      </c>
      <c r="D129" s="822"/>
      <c r="E129" s="852">
        <v>0.03</v>
      </c>
      <c r="F129" s="852">
        <f>+E129</f>
        <v>0.03</v>
      </c>
      <c r="G129" s="852">
        <f>+F129</f>
        <v>0.03</v>
      </c>
      <c r="H129" s="852">
        <f>+G129</f>
        <v>0.03</v>
      </c>
      <c r="I129" s="853">
        <f>+H129</f>
        <v>0.03</v>
      </c>
      <c r="K129" s="821"/>
      <c r="L129" s="821"/>
      <c r="M129" s="821"/>
      <c r="N129" s="821"/>
      <c r="O129" s="821"/>
      <c r="P129" s="821"/>
      <c r="Q129" s="821"/>
    </row>
    <row r="130" spans="2:17" ht="13.5" thickBot="1">
      <c r="B130" s="833"/>
      <c r="C130" s="838" t="s">
        <v>301</v>
      </c>
      <c r="D130" s="839"/>
      <c r="E130" s="854">
        <f>+E127*E129</f>
        <v>1330.7162704369339</v>
      </c>
      <c r="F130" s="854">
        <f>+F127*F129</f>
        <v>1587.6796463493424</v>
      </c>
      <c r="G130" s="854">
        <f>+G127*G129</f>
        <v>2023.5202485391233</v>
      </c>
      <c r="H130" s="854">
        <f>+H127*H129</f>
        <v>2027.834117152262</v>
      </c>
      <c r="I130" s="855">
        <f>+I127*I129</f>
        <v>2035.5421463493424</v>
      </c>
      <c r="K130" s="821"/>
      <c r="L130" s="821"/>
      <c r="M130" s="821"/>
      <c r="N130" s="821"/>
      <c r="O130" s="821"/>
      <c r="P130" s="821"/>
      <c r="Q130" s="821"/>
    </row>
    <row r="131" spans="2:17" ht="13.5" thickBot="1">
      <c r="B131" s="833"/>
      <c r="C131" s="356"/>
      <c r="D131" s="822"/>
      <c r="E131" s="856"/>
      <c r="F131" s="357"/>
      <c r="G131" s="357"/>
      <c r="H131" s="357"/>
      <c r="I131" s="835"/>
      <c r="J131" s="821"/>
      <c r="K131" s="821"/>
      <c r="L131" s="821"/>
      <c r="M131" s="821"/>
      <c r="N131" s="821"/>
      <c r="O131" s="821"/>
      <c r="P131" s="821"/>
      <c r="Q131" s="821"/>
    </row>
    <row r="132" spans="2:17" ht="18.75" thickBot="1">
      <c r="B132" s="857"/>
      <c r="C132" s="858" t="s">
        <v>299</v>
      </c>
      <c r="D132" s="859"/>
      <c r="E132" s="860">
        <f>+E120+E114+E130</f>
        <v>6028.14470507931</v>
      </c>
      <c r="F132" s="860">
        <f>+F120+F114+F130</f>
        <v>7192.188797962523</v>
      </c>
      <c r="G132" s="860">
        <f>+G120+G114+G130</f>
        <v>9166.546725882228</v>
      </c>
      <c r="H132" s="860">
        <f>+H120+H114+H130</f>
        <v>9186.088550699747</v>
      </c>
      <c r="I132" s="861">
        <f>+I120+I114+I130</f>
        <v>9221.005922962522</v>
      </c>
      <c r="J132" s="821"/>
      <c r="K132" s="821"/>
      <c r="L132" s="821"/>
      <c r="M132" s="821"/>
      <c r="N132" s="821"/>
      <c r="O132" s="821"/>
      <c r="P132" s="821"/>
      <c r="Q132" s="821"/>
    </row>
    <row r="133" spans="5:17" ht="12.75">
      <c r="E133" s="862"/>
      <c r="I133" s="821"/>
      <c r="J133" s="821"/>
      <c r="K133" s="821"/>
      <c r="L133" s="821"/>
      <c r="M133" s="821"/>
      <c r="N133" s="821"/>
      <c r="O133" s="821"/>
      <c r="P133" s="821"/>
      <c r="Q133" s="821"/>
    </row>
    <row r="134" spans="5:17" ht="13.5" thickBot="1">
      <c r="E134" s="862"/>
      <c r="I134" s="821"/>
      <c r="J134" s="821"/>
      <c r="K134" s="821"/>
      <c r="L134" s="821"/>
      <c r="M134" s="821"/>
      <c r="N134" s="821"/>
      <c r="O134" s="821"/>
      <c r="P134" s="821"/>
      <c r="Q134" s="821"/>
    </row>
    <row r="135" spans="3:17" ht="15.75">
      <c r="C135" s="863"/>
      <c r="D135" s="864"/>
      <c r="E135" s="865">
        <f>+E132*0.5</f>
        <v>3014.072352539655</v>
      </c>
      <c r="F135" s="865">
        <f>+F132*0.5</f>
        <v>3596.0943989812613</v>
      </c>
      <c r="G135" s="865">
        <f>+G132*0.5</f>
        <v>4583.273362941114</v>
      </c>
      <c r="H135" s="865">
        <f>+H132*0.5</f>
        <v>4593.044275349874</v>
      </c>
      <c r="I135" s="865">
        <f>+I132*0.5</f>
        <v>4610.502961481261</v>
      </c>
      <c r="J135" s="866"/>
      <c r="K135" s="821"/>
      <c r="L135" s="821"/>
      <c r="M135" s="821"/>
      <c r="N135" s="821"/>
      <c r="O135" s="821"/>
      <c r="P135" s="821"/>
      <c r="Q135" s="821"/>
    </row>
    <row r="136" spans="3:17" ht="15.75">
      <c r="C136" s="867"/>
      <c r="D136" s="868"/>
      <c r="E136" s="869">
        <f>+F132*0.5</f>
        <v>3596.0943989812613</v>
      </c>
      <c r="F136" s="869">
        <f>+G132*0.5</f>
        <v>4583.273362941114</v>
      </c>
      <c r="G136" s="869">
        <f>+H132*0.5</f>
        <v>4593.044275349874</v>
      </c>
      <c r="H136" s="869">
        <f>+I132*0.5</f>
        <v>4610.502961481261</v>
      </c>
      <c r="I136" s="869">
        <f>+J132*0.5</f>
        <v>0</v>
      </c>
      <c r="J136" s="870"/>
      <c r="K136" s="821"/>
      <c r="L136" s="821"/>
      <c r="M136" s="821"/>
      <c r="N136" s="821"/>
      <c r="O136" s="821"/>
      <c r="P136" s="821"/>
      <c r="Q136" s="821"/>
    </row>
    <row r="137" spans="3:17" ht="15.75">
      <c r="C137" s="867"/>
      <c r="D137" s="868"/>
      <c r="E137" s="869">
        <f>+E135+E136</f>
        <v>6610.1667515209165</v>
      </c>
      <c r="F137" s="869">
        <f>+F135+F136</f>
        <v>8179.367761922375</v>
      </c>
      <c r="G137" s="869">
        <f>+G135+G136</f>
        <v>9176.317638290988</v>
      </c>
      <c r="H137" s="869">
        <f>+H135+H136</f>
        <v>9203.547236831135</v>
      </c>
      <c r="I137" s="869">
        <f>+I135+I136</f>
        <v>4610.502961481261</v>
      </c>
      <c r="J137" s="870"/>
      <c r="K137" s="821"/>
      <c r="L137" s="821"/>
      <c r="M137" s="821"/>
      <c r="N137" s="821"/>
      <c r="O137" s="821"/>
      <c r="P137" s="821"/>
      <c r="Q137" s="821"/>
    </row>
    <row r="138" spans="3:17" ht="15.75">
      <c r="C138" s="867"/>
      <c r="D138" s="868"/>
      <c r="E138" s="869">
        <f>+D92</f>
        <v>0.9622323791195574</v>
      </c>
      <c r="F138" s="869">
        <f>+E92</f>
        <v>0.8921950664066364</v>
      </c>
      <c r="G138" s="869">
        <f>+F92</f>
        <v>0.8272555089537658</v>
      </c>
      <c r="H138" s="869">
        <f>+G92</f>
        <v>0.7670426601333016</v>
      </c>
      <c r="I138" s="869">
        <f>+H92</f>
        <v>0</v>
      </c>
      <c r="J138" s="870"/>
      <c r="K138" s="821"/>
      <c r="L138" s="821"/>
      <c r="M138" s="821"/>
      <c r="N138" s="821"/>
      <c r="O138" s="821"/>
      <c r="P138" s="821"/>
      <c r="Q138" s="821"/>
    </row>
    <row r="139" spans="3:17" ht="21" thickBot="1">
      <c r="C139" s="871"/>
      <c r="D139" s="872" t="str">
        <f>+B104</f>
        <v>IPCvnri</v>
      </c>
      <c r="E139" s="873">
        <f>+E137*E138</f>
        <v>6360.516479692968</v>
      </c>
      <c r="F139" s="873">
        <f>+F137*F138</f>
        <v>7297.591563512635</v>
      </c>
      <c r="G139" s="873">
        <f>+G137*G138</f>
        <v>7591.159318185829</v>
      </c>
      <c r="H139" s="873">
        <f>+H137*H138</f>
        <v>7059.513355201451</v>
      </c>
      <c r="I139" s="873">
        <f>+I137*I138</f>
        <v>0</v>
      </c>
      <c r="J139" s="874">
        <f>SUM(E139:I139)</f>
        <v>28308.780716592883</v>
      </c>
      <c r="K139" s="821"/>
      <c r="L139" s="821"/>
      <c r="M139" s="821"/>
      <c r="N139" s="821"/>
      <c r="O139" s="821"/>
      <c r="P139" s="821"/>
      <c r="Q139" s="821"/>
    </row>
    <row r="140" spans="5:17" ht="12.75">
      <c r="E140" s="862"/>
      <c r="I140" s="821"/>
      <c r="J140" s="821"/>
      <c r="K140" s="821"/>
      <c r="L140" s="821"/>
      <c r="M140" s="821"/>
      <c r="N140" s="821"/>
      <c r="O140" s="821"/>
      <c r="P140" s="821"/>
      <c r="Q140" s="821"/>
    </row>
    <row r="141" spans="5:17" ht="12.75">
      <c r="E141" s="862"/>
      <c r="I141" s="821"/>
      <c r="J141" s="821"/>
      <c r="K141" s="821"/>
      <c r="L141" s="821"/>
      <c r="M141" s="821"/>
      <c r="N141" s="821"/>
      <c r="O141" s="821"/>
      <c r="P141" s="821"/>
      <c r="Q141" s="821"/>
    </row>
    <row r="142" spans="5:17" ht="12.75">
      <c r="E142" s="862"/>
      <c r="I142" s="821"/>
      <c r="J142" s="821"/>
      <c r="K142" s="821"/>
      <c r="L142" s="821"/>
      <c r="M142" s="821"/>
      <c r="N142" s="821"/>
      <c r="O142" s="821"/>
      <c r="P142" s="821"/>
      <c r="Q142" s="821"/>
    </row>
    <row r="143" spans="5:17" ht="12.75">
      <c r="E143" s="862"/>
      <c r="I143" s="821"/>
      <c r="J143" s="821"/>
      <c r="K143" s="821"/>
      <c r="L143" s="821"/>
      <c r="M143" s="821"/>
      <c r="N143" s="821"/>
      <c r="O143" s="821"/>
      <c r="P143" s="821"/>
      <c r="Q143" s="821"/>
    </row>
    <row r="144" spans="5:17" ht="12.75">
      <c r="E144" s="862"/>
      <c r="I144" s="821"/>
      <c r="J144" s="821"/>
      <c r="K144" s="821"/>
      <c r="L144" s="821"/>
      <c r="M144" s="821"/>
      <c r="N144" s="821"/>
      <c r="O144" s="821"/>
      <c r="P144" s="821"/>
      <c r="Q144" s="821"/>
    </row>
    <row r="145" spans="5:17" ht="12.75">
      <c r="E145" s="862"/>
      <c r="I145" s="821"/>
      <c r="J145" s="821"/>
      <c r="K145" s="821"/>
      <c r="L145" s="821"/>
      <c r="M145" s="821"/>
      <c r="N145" s="821"/>
      <c r="O145" s="821"/>
      <c r="P145" s="821"/>
      <c r="Q145" s="821"/>
    </row>
    <row r="146" spans="5:17" ht="12.75">
      <c r="E146" s="862"/>
      <c r="I146" s="821"/>
      <c r="J146" s="821"/>
      <c r="K146" s="821"/>
      <c r="L146" s="821"/>
      <c r="M146" s="821"/>
      <c r="N146" s="821"/>
      <c r="O146" s="821"/>
      <c r="P146" s="821"/>
      <c r="Q146" s="821"/>
    </row>
  </sheetData>
  <sheetProtection password="CC53" sheet="1" objects="1" scenarios="1"/>
  <mergeCells count="10">
    <mergeCell ref="A54:H54"/>
    <mergeCell ref="A92:B92"/>
    <mergeCell ref="L92:O92"/>
    <mergeCell ref="B104:D104"/>
    <mergeCell ref="A1:H1"/>
    <mergeCell ref="A2:H2"/>
    <mergeCell ref="A3:H3"/>
    <mergeCell ref="A25:B26"/>
    <mergeCell ref="A52:H52"/>
    <mergeCell ref="A53:H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5" r:id="rId1"/>
  <headerFooter>
    <oddFooter>&amp;C&amp;A,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K7" sqref="K7"/>
    </sheetView>
  </sheetViews>
  <sheetFormatPr defaultColWidth="11.421875" defaultRowHeight="12.75"/>
  <cols>
    <col min="1" max="1" width="13.00390625" style="7" bestFit="1" customWidth="1"/>
    <col min="2" max="2" width="7.28125" style="7" bestFit="1" customWidth="1"/>
    <col min="3" max="3" width="7.421875" style="7" bestFit="1" customWidth="1"/>
    <col min="4" max="8" width="7.28125" style="7" customWidth="1"/>
    <col min="9" max="16384" width="11.421875" style="7" customWidth="1"/>
  </cols>
  <sheetData>
    <row r="1" spans="1:8" ht="15.75">
      <c r="A1" s="1115" t="s">
        <v>13</v>
      </c>
      <c r="B1" s="1115"/>
      <c r="C1" s="1115"/>
      <c r="D1" s="1115"/>
      <c r="E1" s="1115"/>
      <c r="F1" s="1115"/>
      <c r="G1" s="1115"/>
      <c r="H1" s="1115"/>
    </row>
    <row r="2" spans="1:8" ht="15.75">
      <c r="A2" s="1115" t="s">
        <v>14</v>
      </c>
      <c r="B2" s="1115"/>
      <c r="C2" s="1115"/>
      <c r="D2" s="1115"/>
      <c r="E2" s="1115"/>
      <c r="F2" s="1115"/>
      <c r="G2" s="1115"/>
      <c r="H2" s="1115"/>
    </row>
    <row r="3" spans="1:8" ht="16.5" thickBot="1">
      <c r="A3" s="1114" t="s">
        <v>15</v>
      </c>
      <c r="B3" s="1114"/>
      <c r="C3" s="1114"/>
      <c r="D3" s="1114"/>
      <c r="E3" s="1114"/>
      <c r="F3" s="1114"/>
      <c r="G3" s="1114"/>
      <c r="H3" s="1114"/>
    </row>
    <row r="4" spans="1:8" ht="12.75">
      <c r="A4" s="8" t="s">
        <v>16</v>
      </c>
      <c r="B4" s="9" t="s">
        <v>17</v>
      </c>
      <c r="C4" s="9">
        <v>2012</v>
      </c>
      <c r="D4" s="10">
        <f>+C4+1</f>
        <v>2013</v>
      </c>
      <c r="E4" s="10">
        <f>+D4+1</f>
        <v>2014</v>
      </c>
      <c r="F4" s="10">
        <f>+E4+1</f>
        <v>2015</v>
      </c>
      <c r="G4" s="10">
        <f>+F4+1</f>
        <v>2016</v>
      </c>
      <c r="H4" s="10">
        <f>+G4+1</f>
        <v>2017</v>
      </c>
    </row>
    <row r="5" spans="1:8" ht="12.75">
      <c r="A5" s="11" t="s">
        <v>18</v>
      </c>
      <c r="B5" s="12" t="s">
        <v>19</v>
      </c>
      <c r="C5" s="24">
        <f>+'[8]IMP 2013 2017'!E8</f>
        <v>0.0214</v>
      </c>
      <c r="D5" s="22"/>
      <c r="E5" s="22"/>
      <c r="F5" s="22"/>
      <c r="G5" s="22"/>
      <c r="H5" s="23"/>
    </row>
    <row r="6" spans="1:8" ht="12.75">
      <c r="A6" s="11" t="s">
        <v>20</v>
      </c>
      <c r="B6" s="12" t="s">
        <v>19</v>
      </c>
      <c r="C6" s="24">
        <f>+'[8]IMP 2013 2017'!E9</f>
        <v>0.006</v>
      </c>
      <c r="D6" s="22"/>
      <c r="E6" s="22"/>
      <c r="F6" s="22"/>
      <c r="G6" s="22"/>
      <c r="H6" s="23"/>
    </row>
    <row r="7" spans="1:8" ht="12.75">
      <c r="A7" s="11" t="s">
        <v>21</v>
      </c>
      <c r="B7" s="12" t="s">
        <v>19</v>
      </c>
      <c r="C7" s="33">
        <f>+'[8]IMP 2013 2017'!D10</f>
        <v>0.0785</v>
      </c>
      <c r="D7" s="477"/>
      <c r="E7" s="13"/>
      <c r="F7" s="13"/>
      <c r="G7" s="13"/>
      <c r="H7" s="14"/>
    </row>
    <row r="8" spans="1:8" ht="13.5" thickBot="1">
      <c r="A8" s="15" t="s">
        <v>22</v>
      </c>
      <c r="B8" s="16" t="s">
        <v>19</v>
      </c>
      <c r="C8" s="93">
        <v>0.03</v>
      </c>
      <c r="D8" s="17"/>
      <c r="E8" s="17"/>
      <c r="F8" s="17"/>
      <c r="G8" s="17"/>
      <c r="H8" s="18"/>
    </row>
    <row r="16" spans="1:9" ht="12.75">
      <c r="A16" s="19"/>
      <c r="D16" s="20"/>
      <c r="I16" s="21"/>
    </row>
  </sheetData>
  <sheetProtection password="CC53" sheet="1" objects="1" scenarios="1"/>
  <mergeCells count="3">
    <mergeCell ref="A3:H3"/>
    <mergeCell ref="A1:H1"/>
    <mergeCell ref="A2:H2"/>
  </mergeCells>
  <printOptions horizontalCentered="1" verticalCentered="1"/>
  <pageMargins left="0.75" right="0.75" top="1" bottom="0.53" header="0" footer="1.03"/>
  <pageSetup horizontalDpi="300" verticalDpi="300" orientation="landscape" scale="125" r:id="rId1"/>
  <headerFooter alignWithMargins="0">
    <oddFooter>&amp;LGerencia de Planificación/DAP/MRN Arcihvo: &amp;F, Hoja&amp;A&amp;R&amp;D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="80" zoomScaleNormal="80" workbookViewId="0" topLeftCell="A1">
      <selection activeCell="A1" sqref="A1:M36"/>
    </sheetView>
  </sheetViews>
  <sheetFormatPr defaultColWidth="11.421875" defaultRowHeight="12.75"/>
  <cols>
    <col min="1" max="1" width="38.421875" style="133" customWidth="1"/>
    <col min="2" max="2" width="17.8515625" style="133" customWidth="1"/>
    <col min="3" max="3" width="14.421875" style="133" customWidth="1"/>
    <col min="4" max="4" width="13.421875" style="133" customWidth="1"/>
    <col min="5" max="5" width="11.8515625" style="133" customWidth="1"/>
    <col min="6" max="6" width="11.421875" style="133" customWidth="1"/>
    <col min="7" max="7" width="12.8515625" style="133" customWidth="1"/>
    <col min="8" max="8" width="11.28125" style="133" customWidth="1"/>
    <col min="9" max="9" width="17.57421875" style="133" customWidth="1"/>
    <col min="10" max="10" width="11.8515625" style="133" customWidth="1"/>
    <col min="11" max="11" width="23.28125" style="133" customWidth="1"/>
    <col min="12" max="16384" width="11.421875" style="133" customWidth="1"/>
  </cols>
  <sheetData>
    <row r="1" spans="1:11" ht="18">
      <c r="A1" s="969" t="s">
        <v>13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</row>
    <row r="2" spans="1:11" ht="39.6" customHeight="1" thickBot="1">
      <c r="A2" s="992" t="s">
        <v>23</v>
      </c>
      <c r="B2" s="992"/>
      <c r="C2" s="992"/>
      <c r="D2" s="992"/>
      <c r="E2" s="992"/>
      <c r="F2" s="992"/>
      <c r="G2" s="992"/>
      <c r="H2" s="992"/>
      <c r="I2" s="992"/>
      <c r="J2" s="992"/>
      <c r="K2" s="992"/>
    </row>
    <row r="3" spans="1:11" ht="27.6" customHeight="1">
      <c r="A3" s="993" t="s">
        <v>25</v>
      </c>
      <c r="B3" s="994"/>
      <c r="C3" s="994"/>
      <c r="D3" s="994"/>
      <c r="E3" s="1001" t="s">
        <v>115</v>
      </c>
      <c r="F3" s="1002"/>
      <c r="G3" s="1002"/>
      <c r="H3" s="1002"/>
      <c r="I3" s="1002"/>
      <c r="J3" s="1002"/>
      <c r="K3" s="1003"/>
    </row>
    <row r="4" spans="1:11" ht="27.6" customHeight="1" thickBot="1">
      <c r="A4" s="995"/>
      <c r="B4" s="996"/>
      <c r="C4" s="996"/>
      <c r="D4" s="996"/>
      <c r="E4" s="52"/>
      <c r="F4" s="31"/>
      <c r="G4" s="31"/>
      <c r="H4" s="31"/>
      <c r="I4" s="31"/>
      <c r="J4" s="31"/>
      <c r="K4" s="131"/>
    </row>
    <row r="5" spans="1:11" ht="27.6" customHeight="1">
      <c r="A5" s="995"/>
      <c r="B5" s="996"/>
      <c r="C5" s="996"/>
      <c r="D5" s="996"/>
      <c r="E5" s="1001" t="s">
        <v>116</v>
      </c>
      <c r="F5" s="1002"/>
      <c r="G5" s="1002"/>
      <c r="H5" s="1002"/>
      <c r="I5" s="1002"/>
      <c r="J5" s="1002"/>
      <c r="K5" s="1003"/>
    </row>
    <row r="6" spans="1:11" ht="27.6" customHeight="1" thickBot="1">
      <c r="A6" s="997"/>
      <c r="B6" s="998"/>
      <c r="C6" s="998"/>
      <c r="D6" s="998"/>
      <c r="E6" s="134"/>
      <c r="F6" s="106"/>
      <c r="G6" s="106"/>
      <c r="H6" s="106"/>
      <c r="I6" s="106"/>
      <c r="J6" s="106"/>
      <c r="K6" s="107"/>
    </row>
    <row r="7" spans="1:11" ht="18" customHeight="1" thickBot="1">
      <c r="A7" s="178"/>
      <c r="B7" s="178"/>
      <c r="C7" s="178"/>
      <c r="D7" s="178"/>
      <c r="E7" s="31"/>
      <c r="F7" s="31"/>
      <c r="G7" s="31"/>
      <c r="H7" s="106"/>
      <c r="I7" s="31"/>
      <c r="J7" s="31"/>
      <c r="K7" s="31"/>
    </row>
    <row r="8" spans="1:15" ht="26.45" customHeight="1">
      <c r="A8" s="991" t="s">
        <v>24</v>
      </c>
      <c r="B8" s="991" t="s">
        <v>17</v>
      </c>
      <c r="C8" s="1004" t="s">
        <v>1</v>
      </c>
      <c r="D8" s="1004" t="s">
        <v>310</v>
      </c>
      <c r="E8" s="999" t="s">
        <v>131</v>
      </c>
      <c r="F8" s="1000" t="s">
        <v>201</v>
      </c>
      <c r="G8" s="1000" t="s">
        <v>202</v>
      </c>
      <c r="H8" s="1000" t="s">
        <v>203</v>
      </c>
      <c r="I8" s="1000" t="s">
        <v>113</v>
      </c>
      <c r="J8" s="246"/>
      <c r="K8" s="991" t="s">
        <v>114</v>
      </c>
      <c r="L8" s="990" t="s">
        <v>111</v>
      </c>
      <c r="M8" s="991" t="s">
        <v>200</v>
      </c>
      <c r="O8" s="988" t="s">
        <v>312</v>
      </c>
    </row>
    <row r="9" spans="1:15" ht="16.9" customHeight="1">
      <c r="A9" s="991"/>
      <c r="B9" s="991"/>
      <c r="C9" s="1005"/>
      <c r="D9" s="1005"/>
      <c r="E9" s="999"/>
      <c r="F9" s="1000"/>
      <c r="G9" s="1000"/>
      <c r="H9" s="1000"/>
      <c r="I9" s="1000"/>
      <c r="J9" s="247"/>
      <c r="K9" s="991"/>
      <c r="L9" s="990"/>
      <c r="M9" s="991"/>
      <c r="O9" s="989"/>
    </row>
    <row r="10" spans="1:15" ht="18.75" customHeight="1">
      <c r="A10" s="252" t="s">
        <v>15</v>
      </c>
      <c r="B10" s="250"/>
      <c r="C10" s="900"/>
      <c r="D10" s="250"/>
      <c r="E10" s="901"/>
      <c r="F10" s="333">
        <f>+'Parámetros de eficiencia'!C5</f>
        <v>0.0214</v>
      </c>
      <c r="G10" s="333">
        <f>+'Parámetros de eficiencia'!C6</f>
        <v>0.006</v>
      </c>
      <c r="H10" s="505">
        <v>0.03</v>
      </c>
      <c r="I10" s="333">
        <f>+'Parámetros de eficiencia'!C7</f>
        <v>0.0785</v>
      </c>
      <c r="J10" s="334"/>
      <c r="K10" s="251"/>
      <c r="L10" s="478">
        <f>+'VERIFICACIÓN DE INGRESOS'!B6</f>
        <v>0.6196857165490125</v>
      </c>
      <c r="M10" s="251"/>
      <c r="O10" s="903"/>
    </row>
    <row r="11" spans="1:15" ht="12.75">
      <c r="A11" s="258" t="s">
        <v>3</v>
      </c>
      <c r="B11" s="211"/>
      <c r="C11" s="248"/>
      <c r="D11" s="211"/>
      <c r="E11" s="248"/>
      <c r="F11" s="249"/>
      <c r="G11" s="183"/>
      <c r="H11" s="249"/>
      <c r="I11" s="259"/>
      <c r="J11" s="183"/>
      <c r="K11" s="268"/>
      <c r="L11" s="249"/>
      <c r="M11" s="259"/>
      <c r="O11" s="904"/>
    </row>
    <row r="12" spans="1:15" ht="12.75">
      <c r="A12" s="260" t="s">
        <v>148</v>
      </c>
      <c r="B12" s="95" t="str">
        <f>+'[6]VNR2004'!B8</f>
        <v>Miles B/./Salida</v>
      </c>
      <c r="C12" s="185">
        <f>+' VNR'!C5+' VNR'!C33+' VNR'!F33/2</f>
        <v>2539.207</v>
      </c>
      <c r="D12" s="95">
        <f>+' VNR'!D5</f>
        <v>4</v>
      </c>
      <c r="E12" s="185">
        <f>+C12/D12</f>
        <v>634.80175</v>
      </c>
      <c r="F12" s="95">
        <f>$E12*$F$10</f>
        <v>13.584757449999998</v>
      </c>
      <c r="G12" s="186">
        <f>+$E12*$G$10</f>
        <v>3.8088105</v>
      </c>
      <c r="H12" s="95">
        <f>$E12*$H$10</f>
        <v>19.0440525</v>
      </c>
      <c r="I12" s="261">
        <f>$E12*$I$10</f>
        <v>49.831937374999995</v>
      </c>
      <c r="J12" s="184"/>
      <c r="K12" s="279">
        <f>+F12+G12+H12+I12</f>
        <v>86.26955782499999</v>
      </c>
      <c r="L12" s="280"/>
      <c r="M12" s="881">
        <f>ROUND(+K12*$L$10,2)</f>
        <v>53.46</v>
      </c>
      <c r="N12" s="304"/>
      <c r="O12" s="905">
        <f>+M12*D12</f>
        <v>213.84</v>
      </c>
    </row>
    <row r="13" spans="1:15" ht="12.75">
      <c r="A13" s="260" t="s">
        <v>149</v>
      </c>
      <c r="B13" s="95" t="str">
        <f>+'[6]VNR2004'!B9</f>
        <v>Miles B/./Salida</v>
      </c>
      <c r="C13" s="185">
        <f>+' VNR'!C6+' VNR'!C34+' VNR'!F34/2</f>
        <v>7767.087</v>
      </c>
      <c r="D13" s="95">
        <f>+' VNR'!D6</f>
        <v>14</v>
      </c>
      <c r="E13" s="185">
        <f aca="true" t="shared" si="0" ref="E13:E15">+C13/D13</f>
        <v>554.7919285714286</v>
      </c>
      <c r="F13" s="95">
        <f aca="true" t="shared" si="1" ref="F13:F26">$E13*$F$10</f>
        <v>11.872547271428571</v>
      </c>
      <c r="G13" s="186">
        <f aca="true" t="shared" si="2" ref="G13:G26">+$E13*$G$10</f>
        <v>3.3287515714285716</v>
      </c>
      <c r="H13" s="95">
        <f aca="true" t="shared" si="3" ref="H13:H26">$E13*$H$10</f>
        <v>16.643757857142855</v>
      </c>
      <c r="I13" s="261">
        <f aca="true" t="shared" si="4" ref="I13:I26">$E13*$I$10</f>
        <v>43.55116639285714</v>
      </c>
      <c r="J13" s="184"/>
      <c r="K13" s="279">
        <f aca="true" t="shared" si="5" ref="K13:K19">+F13+G13+H13+I13</f>
        <v>75.39622309285714</v>
      </c>
      <c r="L13" s="280"/>
      <c r="M13" s="881">
        <f aca="true" t="shared" si="6" ref="M13:M23">ROUND(+K13*$L$10,2)</f>
        <v>46.72</v>
      </c>
      <c r="O13" s="905">
        <f aca="true" t="shared" si="7" ref="O13:O15">+M13*D13</f>
        <v>654.0799999999999</v>
      </c>
    </row>
    <row r="14" spans="1:15" ht="12.75">
      <c r="A14" s="260" t="s">
        <v>150</v>
      </c>
      <c r="B14" s="95" t="str">
        <f>+'[6]VNR2004'!B10</f>
        <v>Miles B/./Salida</v>
      </c>
      <c r="C14" s="185">
        <f>+' VNR'!C7+' VNR'!C35+' VNR'!F35/2</f>
        <v>1677.1</v>
      </c>
      <c r="D14" s="95">
        <f>+' VNR'!D7</f>
        <v>3</v>
      </c>
      <c r="E14" s="185">
        <f t="shared" si="0"/>
        <v>559.0333333333333</v>
      </c>
      <c r="F14" s="95">
        <f t="shared" si="1"/>
        <v>11.963313333333332</v>
      </c>
      <c r="G14" s="186">
        <f t="shared" si="2"/>
        <v>3.3542</v>
      </c>
      <c r="H14" s="95">
        <f t="shared" si="3"/>
        <v>16.770999999999997</v>
      </c>
      <c r="I14" s="261">
        <f t="shared" si="4"/>
        <v>43.884116666666664</v>
      </c>
      <c r="J14" s="184"/>
      <c r="K14" s="279">
        <f t="shared" si="5"/>
        <v>75.97263</v>
      </c>
      <c r="L14" s="280"/>
      <c r="M14" s="881">
        <f t="shared" si="6"/>
        <v>47.08</v>
      </c>
      <c r="O14" s="905">
        <f t="shared" si="7"/>
        <v>141.24</v>
      </c>
    </row>
    <row r="15" spans="1:15" ht="12.75">
      <c r="A15" s="260" t="s">
        <v>151</v>
      </c>
      <c r="B15" s="95" t="str">
        <f>+'[6]VNR2004'!B11</f>
        <v>Miles B/./Salida</v>
      </c>
      <c r="C15" s="185">
        <f>+' VNR'!C8+' VNR'!C36+' VNR'!F36/2</f>
        <v>4931.205</v>
      </c>
      <c r="D15" s="95">
        <f>+' VNR'!D8</f>
        <v>4</v>
      </c>
      <c r="E15" s="185">
        <f t="shared" si="0"/>
        <v>1232.80125</v>
      </c>
      <c r="F15" s="95">
        <f t="shared" si="1"/>
        <v>26.381946749999997</v>
      </c>
      <c r="G15" s="186">
        <f t="shared" si="2"/>
        <v>7.3968075</v>
      </c>
      <c r="H15" s="95">
        <f t="shared" si="3"/>
        <v>36.9840375</v>
      </c>
      <c r="I15" s="261">
        <f t="shared" si="4"/>
        <v>96.77489812499999</v>
      </c>
      <c r="J15" s="184"/>
      <c r="K15" s="279">
        <f t="shared" si="5"/>
        <v>167.53768987499998</v>
      </c>
      <c r="L15" s="280"/>
      <c r="M15" s="881">
        <f t="shared" si="6"/>
        <v>103.82</v>
      </c>
      <c r="O15" s="905">
        <f t="shared" si="7"/>
        <v>415.28</v>
      </c>
    </row>
    <row r="16" spans="1:15" ht="12.75">
      <c r="A16" s="260" t="s">
        <v>160</v>
      </c>
      <c r="B16" s="182" t="s">
        <v>73</v>
      </c>
      <c r="C16" s="185">
        <f>+' VNR'!C9+' VNR'!C37+' VNR'!F37/2</f>
        <v>0</v>
      </c>
      <c r="D16" s="95">
        <f>+' VNR'!D9</f>
        <v>0</v>
      </c>
      <c r="E16" s="185">
        <f>+' VNR'!E9</f>
        <v>0</v>
      </c>
      <c r="F16" s="95">
        <f t="shared" si="1"/>
        <v>0</v>
      </c>
      <c r="G16" s="186">
        <f t="shared" si="2"/>
        <v>0</v>
      </c>
      <c r="H16" s="95">
        <f t="shared" si="3"/>
        <v>0</v>
      </c>
      <c r="I16" s="261">
        <f t="shared" si="4"/>
        <v>0</v>
      </c>
      <c r="J16" s="184"/>
      <c r="K16" s="481" t="s">
        <v>198</v>
      </c>
      <c r="L16" s="280"/>
      <c r="M16" s="882" t="s">
        <v>198</v>
      </c>
      <c r="O16" s="905">
        <f>+' VNR'!O9</f>
        <v>0</v>
      </c>
    </row>
    <row r="17" spans="1:15" ht="12.75">
      <c r="A17" s="260" t="s">
        <v>161</v>
      </c>
      <c r="B17" s="95" t="str">
        <f>+'[6]VNR2004'!B13</f>
        <v>Miles B/./Salida</v>
      </c>
      <c r="C17" s="185">
        <f>+' VNR'!C10+' VNR'!C38+' VNR'!F38/2</f>
        <v>0</v>
      </c>
      <c r="D17" s="95"/>
      <c r="E17" s="185"/>
      <c r="F17" s="95">
        <f t="shared" si="1"/>
        <v>0</v>
      </c>
      <c r="G17" s="186">
        <f t="shared" si="2"/>
        <v>0</v>
      </c>
      <c r="H17" s="95">
        <f t="shared" si="3"/>
        <v>0</v>
      </c>
      <c r="I17" s="261">
        <f t="shared" si="4"/>
        <v>0</v>
      </c>
      <c r="J17" s="184"/>
      <c r="K17" s="481" t="s">
        <v>198</v>
      </c>
      <c r="L17" s="280"/>
      <c r="M17" s="882" t="s">
        <v>198</v>
      </c>
      <c r="O17" s="905"/>
    </row>
    <row r="18" spans="1:15" ht="12.75">
      <c r="A18" s="294" t="s">
        <v>152</v>
      </c>
      <c r="B18" s="182" t="s">
        <v>73</v>
      </c>
      <c r="C18" s="185">
        <f>+' VNR'!C11+' VNR'!C39+' VNR'!F39/2</f>
        <v>3473.011</v>
      </c>
      <c r="D18" s="95">
        <f>+' VNR'!D11</f>
        <v>2</v>
      </c>
      <c r="E18" s="185">
        <f aca="true" t="shared" si="8" ref="E18">+C18/D18</f>
        <v>1736.5055</v>
      </c>
      <c r="F18" s="95">
        <f t="shared" si="1"/>
        <v>37.161217699999995</v>
      </c>
      <c r="G18" s="186">
        <f t="shared" si="2"/>
        <v>10.419033</v>
      </c>
      <c r="H18" s="95">
        <f t="shared" si="3"/>
        <v>52.095164999999994</v>
      </c>
      <c r="I18" s="261">
        <f t="shared" si="4"/>
        <v>136.31568175</v>
      </c>
      <c r="J18" s="184"/>
      <c r="K18" s="480">
        <f t="shared" si="5"/>
        <v>235.99109744999998</v>
      </c>
      <c r="L18" s="280"/>
      <c r="M18" s="881">
        <f>ROUND(+K18*$L$10,2)</f>
        <v>146.24</v>
      </c>
      <c r="O18" s="905">
        <f aca="true" t="shared" si="9" ref="O18:O19">+M18*D18</f>
        <v>292.48</v>
      </c>
    </row>
    <row r="19" spans="1:15" ht="12.75">
      <c r="A19" s="486" t="s">
        <v>271</v>
      </c>
      <c r="B19" s="182" t="s">
        <v>73</v>
      </c>
      <c r="C19" s="185">
        <f>+' VNR'!C12+' VNR'!C40+' VNR'!F40/2</f>
        <v>2395</v>
      </c>
      <c r="D19" s="95">
        <v>3</v>
      </c>
      <c r="E19" s="185">
        <f aca="true" t="shared" si="10" ref="E19">+C19/D19</f>
        <v>798.3333333333334</v>
      </c>
      <c r="F19" s="95">
        <f t="shared" si="1"/>
        <v>17.084333333333333</v>
      </c>
      <c r="G19" s="186">
        <f t="shared" si="2"/>
        <v>4.79</v>
      </c>
      <c r="H19" s="95">
        <f t="shared" si="3"/>
        <v>23.95</v>
      </c>
      <c r="I19" s="261">
        <f t="shared" si="4"/>
        <v>62.66916666666667</v>
      </c>
      <c r="J19" s="184"/>
      <c r="K19" s="480">
        <f t="shared" si="5"/>
        <v>108.4935</v>
      </c>
      <c r="L19" s="280"/>
      <c r="M19" s="881">
        <f>ROUND(+K19*$L$10,2)</f>
        <v>67.23</v>
      </c>
      <c r="O19" s="905">
        <f t="shared" si="9"/>
        <v>201.69</v>
      </c>
    </row>
    <row r="20" spans="1:15" ht="12.75">
      <c r="A20" s="908" t="s">
        <v>4</v>
      </c>
      <c r="B20" s="261"/>
      <c r="C20" s="185">
        <f>+' VNR'!C14+' VNR'!C42+' VNR'!F42/2</f>
        <v>0</v>
      </c>
      <c r="D20" s="95"/>
      <c r="E20" s="185"/>
      <c r="F20" s="95"/>
      <c r="G20" s="186"/>
      <c r="H20" s="95"/>
      <c r="I20" s="261"/>
      <c r="J20" s="184"/>
      <c r="K20" s="480"/>
      <c r="L20" s="280"/>
      <c r="M20" s="881"/>
      <c r="O20" s="905"/>
    </row>
    <row r="21" spans="1:15" ht="12.75">
      <c r="A21" s="305" t="str">
        <f>+' VNR'!B15</f>
        <v>CXTR Reductor 60/80/100 MVA</v>
      </c>
      <c r="B21" s="261" t="s">
        <v>159</v>
      </c>
      <c r="C21" s="185">
        <f>+' VNR'!C15+' VNR'!C43+' VNR'!F43/2</f>
        <v>6591.5</v>
      </c>
      <c r="D21" s="95">
        <f>+' VNR'!D43</f>
        <v>200</v>
      </c>
      <c r="E21" s="185">
        <f aca="true" t="shared" si="11" ref="E21:E24">+C21/D21</f>
        <v>32.9575</v>
      </c>
      <c r="F21" s="95">
        <f t="shared" si="1"/>
        <v>0.7052905</v>
      </c>
      <c r="G21" s="186">
        <f t="shared" si="2"/>
        <v>0.19774500000000003</v>
      </c>
      <c r="H21" s="95">
        <f t="shared" si="3"/>
        <v>0.9887250000000001</v>
      </c>
      <c r="I21" s="261">
        <f t="shared" si="4"/>
        <v>2.58716375</v>
      </c>
      <c r="J21" s="184"/>
      <c r="K21" s="482">
        <f>+G21+F21+H21+I21</f>
        <v>4.47892425</v>
      </c>
      <c r="L21" s="280"/>
      <c r="M21" s="881">
        <f t="shared" si="6"/>
        <v>2.78</v>
      </c>
      <c r="O21" s="905">
        <f aca="true" t="shared" si="12" ref="O21:O26">+M21*D21</f>
        <v>556</v>
      </c>
    </row>
    <row r="22" spans="1:15" ht="12.75">
      <c r="A22" s="306" t="s">
        <v>5</v>
      </c>
      <c r="B22" s="261" t="s">
        <v>159</v>
      </c>
      <c r="C22" s="185">
        <f>+' VNR'!C16+' VNR'!C44+' VNR'!F44/2</f>
        <v>7460.677</v>
      </c>
      <c r="D22" s="95">
        <f>+' VNR'!D16</f>
        <v>140</v>
      </c>
      <c r="E22" s="185">
        <f t="shared" si="11"/>
        <v>53.290549999999996</v>
      </c>
      <c r="F22" s="95">
        <f t="shared" si="1"/>
        <v>1.1404177699999998</v>
      </c>
      <c r="G22" s="186">
        <f t="shared" si="2"/>
        <v>0.3197433</v>
      </c>
      <c r="H22" s="95">
        <f t="shared" si="3"/>
        <v>1.5987164999999999</v>
      </c>
      <c r="I22" s="261">
        <f t="shared" si="4"/>
        <v>4.183308175</v>
      </c>
      <c r="J22" s="184"/>
      <c r="K22" s="482">
        <f>+G22+F22+H22+I22</f>
        <v>7.242185745</v>
      </c>
      <c r="L22" s="280"/>
      <c r="M22" s="881">
        <f t="shared" si="6"/>
        <v>4.49</v>
      </c>
      <c r="O22" s="905">
        <f t="shared" si="12"/>
        <v>628.6</v>
      </c>
    </row>
    <row r="23" spans="1:15" ht="12.75">
      <c r="A23" s="306" t="s">
        <v>6</v>
      </c>
      <c r="B23" s="261" t="s">
        <v>159</v>
      </c>
      <c r="C23" s="185">
        <f>+' VNR'!C17+' VNR'!C45+' VNR'!F45/2</f>
        <v>5001.443</v>
      </c>
      <c r="D23" s="95">
        <f>+' VNR'!D17</f>
        <v>100</v>
      </c>
      <c r="E23" s="185">
        <f t="shared" si="11"/>
        <v>50.014430000000004</v>
      </c>
      <c r="F23" s="95">
        <f t="shared" si="1"/>
        <v>1.070308802</v>
      </c>
      <c r="G23" s="186">
        <f t="shared" si="2"/>
        <v>0.30008658000000005</v>
      </c>
      <c r="H23" s="95">
        <f t="shared" si="3"/>
        <v>1.5004329</v>
      </c>
      <c r="I23" s="261">
        <f t="shared" si="4"/>
        <v>3.9261327550000003</v>
      </c>
      <c r="J23" s="184"/>
      <c r="K23" s="283">
        <f>+G23+F23+H23+I23</f>
        <v>6.796961037000001</v>
      </c>
      <c r="L23" s="280"/>
      <c r="M23" s="881">
        <f t="shared" si="6"/>
        <v>4.21</v>
      </c>
      <c r="O23" s="905">
        <f t="shared" si="12"/>
        <v>421</v>
      </c>
    </row>
    <row r="24" spans="1:15" ht="12.75">
      <c r="A24" s="911" t="s">
        <v>7</v>
      </c>
      <c r="B24" s="261" t="s">
        <v>159</v>
      </c>
      <c r="C24" s="185">
        <f>+' VNR'!C18+' VNR'!C46+' VNR'!F46/2</f>
        <v>1768.618</v>
      </c>
      <c r="D24" s="95">
        <f>+' VNR'!D18</f>
        <v>24</v>
      </c>
      <c r="E24" s="185">
        <f t="shared" si="11"/>
        <v>73.69241666666666</v>
      </c>
      <c r="F24" s="95">
        <f t="shared" si="1"/>
        <v>1.5770177166666663</v>
      </c>
      <c r="G24" s="186">
        <f t="shared" si="2"/>
        <v>0.44215449999999995</v>
      </c>
      <c r="H24" s="95">
        <f t="shared" si="3"/>
        <v>2.2107724999999996</v>
      </c>
      <c r="I24" s="261">
        <f t="shared" si="4"/>
        <v>5.784854708333333</v>
      </c>
      <c r="J24" s="184"/>
      <c r="K24" s="283">
        <f>+G24+F24+H24+I24</f>
        <v>10.014799424999998</v>
      </c>
      <c r="L24" s="280"/>
      <c r="M24" s="881">
        <f>ROUND(+K24*$L$10,2)</f>
        <v>6.21</v>
      </c>
      <c r="N24" s="135"/>
      <c r="O24" s="905">
        <f t="shared" si="12"/>
        <v>149.04</v>
      </c>
    </row>
    <row r="25" spans="1:15" ht="12.75">
      <c r="A25" s="295" t="s">
        <v>8</v>
      </c>
      <c r="B25" s="484" t="s">
        <v>11</v>
      </c>
      <c r="C25" s="185">
        <f>+' VNR'!C20+' VNR'!C48+' VNR'!F48/2</f>
        <v>0</v>
      </c>
      <c r="D25" s="484"/>
      <c r="E25" s="185"/>
      <c r="F25" s="95"/>
      <c r="G25" s="186"/>
      <c r="H25" s="95"/>
      <c r="I25" s="261"/>
      <c r="J25" s="184"/>
      <c r="K25" s="283"/>
      <c r="L25" s="280"/>
      <c r="M25" s="281"/>
      <c r="N25" s="135"/>
      <c r="O25" s="905"/>
    </row>
    <row r="26" spans="1:15" ht="12.75">
      <c r="A26" s="262" t="s">
        <v>205</v>
      </c>
      <c r="B26" s="95" t="str">
        <f>+'[6]VNR2004'!B21</f>
        <v>Miles B/./km</v>
      </c>
      <c r="C26" s="185">
        <f>+' VNR'!C21+' VNR'!C49+' VNR'!F49/2</f>
        <v>4882.028</v>
      </c>
      <c r="D26" s="95">
        <f>+' VNR'!E75</f>
        <v>38.3</v>
      </c>
      <c r="E26" s="185">
        <f>+' VNR'!E21</f>
        <v>127.46809399477809</v>
      </c>
      <c r="F26" s="95">
        <f t="shared" si="1"/>
        <v>2.727817211488251</v>
      </c>
      <c r="G26" s="186">
        <f t="shared" si="2"/>
        <v>0.7648085639686686</v>
      </c>
      <c r="H26" s="95">
        <f t="shared" si="3"/>
        <v>3.8240428198433425</v>
      </c>
      <c r="I26" s="261">
        <f t="shared" si="4"/>
        <v>10.00624537859008</v>
      </c>
      <c r="J26" s="184"/>
      <c r="K26" s="279">
        <f aca="true" t="shared" si="13" ref="K26">+F26+G26+H26+I26</f>
        <v>17.322913973890344</v>
      </c>
      <c r="L26" s="280"/>
      <c r="M26" s="281">
        <f>ROUND(+K26*$L$10,2)</f>
        <v>10.73</v>
      </c>
      <c r="N26" s="135"/>
      <c r="O26" s="905">
        <f t="shared" si="12"/>
        <v>410.959</v>
      </c>
    </row>
    <row r="27" spans="1:15" ht="12.75">
      <c r="A27" s="262" t="s">
        <v>209</v>
      </c>
      <c r="B27" s="95" t="str">
        <f>+'[6]VNR2004'!B22</f>
        <v>Miles B/./km</v>
      </c>
      <c r="C27" s="185"/>
      <c r="D27" s="95"/>
      <c r="E27" s="185"/>
      <c r="F27" s="95"/>
      <c r="G27" s="186"/>
      <c r="H27" s="95"/>
      <c r="I27" s="261"/>
      <c r="J27" s="184"/>
      <c r="K27" s="279"/>
      <c r="L27" s="280"/>
      <c r="M27" s="282" t="s">
        <v>198</v>
      </c>
      <c r="N27" s="135"/>
      <c r="O27" s="905">
        <f>+' VNR'!O22</f>
        <v>0</v>
      </c>
    </row>
    <row r="28" spans="1:15" ht="12.75">
      <c r="A28" s="262" t="s">
        <v>155</v>
      </c>
      <c r="B28" s="95" t="str">
        <f>+'[6]VNR2004'!B23</f>
        <v>Miles B/./km</v>
      </c>
      <c r="C28" s="185"/>
      <c r="D28" s="95"/>
      <c r="E28" s="185"/>
      <c r="F28" s="95"/>
      <c r="G28" s="186"/>
      <c r="H28" s="95"/>
      <c r="I28" s="261"/>
      <c r="J28" s="184"/>
      <c r="K28" s="279"/>
      <c r="L28" s="280"/>
      <c r="M28" s="282" t="s">
        <v>198</v>
      </c>
      <c r="O28" s="905">
        <f>+' VNR'!O23</f>
        <v>0</v>
      </c>
    </row>
    <row r="29" spans="1:15" ht="12.75">
      <c r="A29" s="262" t="s">
        <v>204</v>
      </c>
      <c r="B29" s="95" t="str">
        <f>+'[6]VNR2004'!B24</f>
        <v>Miles B/./km</v>
      </c>
      <c r="C29" s="185"/>
      <c r="D29" s="256"/>
      <c r="E29" s="332"/>
      <c r="F29" s="95"/>
      <c r="G29" s="186"/>
      <c r="H29" s="95"/>
      <c r="I29" s="261"/>
      <c r="J29" s="184"/>
      <c r="K29" s="279"/>
      <c r="L29" s="284"/>
      <c r="M29" s="282" t="s">
        <v>198</v>
      </c>
      <c r="O29" s="906">
        <f>+' VNR'!K24</f>
        <v>0</v>
      </c>
    </row>
    <row r="30" spans="1:15" ht="12.75">
      <c r="A30" s="262" t="s">
        <v>208</v>
      </c>
      <c r="B30" s="182" t="s">
        <v>206</v>
      </c>
      <c r="C30" s="185"/>
      <c r="D30" s="902"/>
      <c r="E30" s="332"/>
      <c r="F30" s="256"/>
      <c r="G30" s="257"/>
      <c r="H30" s="256"/>
      <c r="I30" s="263"/>
      <c r="J30" s="184"/>
      <c r="K30" s="285"/>
      <c r="L30" s="284"/>
      <c r="M30" s="282" t="s">
        <v>198</v>
      </c>
      <c r="O30" s="906">
        <f>+' VNR'!K25</f>
        <v>0</v>
      </c>
    </row>
    <row r="31" spans="1:15" ht="13.5" thickBot="1">
      <c r="A31" s="264" t="s">
        <v>207</v>
      </c>
      <c r="B31" s="265" t="str">
        <f>+'[6]VNR2004'!B24</f>
        <v>Miles B/./km</v>
      </c>
      <c r="C31" s="265"/>
      <c r="D31" s="265"/>
      <c r="E31" s="267"/>
      <c r="F31" s="265"/>
      <c r="G31" s="266"/>
      <c r="H31" s="265"/>
      <c r="I31" s="267"/>
      <c r="J31" s="184"/>
      <c r="K31" s="286"/>
      <c r="L31" s="287"/>
      <c r="M31" s="288" t="s">
        <v>198</v>
      </c>
      <c r="O31" s="907">
        <f>+' VNR'!O26</f>
        <v>0</v>
      </c>
    </row>
    <row r="32" spans="1:15" ht="12.75">
      <c r="A32" s="213"/>
      <c r="B32" s="941"/>
      <c r="C32" s="941"/>
      <c r="D32" s="941"/>
      <c r="E32" s="941"/>
      <c r="F32" s="941"/>
      <c r="G32" s="942"/>
      <c r="H32" s="941"/>
      <c r="I32" s="941"/>
      <c r="J32" s="31"/>
      <c r="K32" s="942"/>
      <c r="L32" s="96"/>
      <c r="M32" s="943"/>
      <c r="O32" s="941"/>
    </row>
    <row r="33" spans="1:15" ht="13.5" thickBot="1">
      <c r="A33" s="964" t="s">
        <v>319</v>
      </c>
      <c r="B33" s="944"/>
      <c r="C33" s="944">
        <f>+' VNR'!C13+' VNR'!C41+' VNR'!F41/2+' VNR'!C19+' VNR'!C47+' VNR'!F47/2</f>
        <v>153</v>
      </c>
      <c r="D33" s="944"/>
      <c r="E33" s="945">
        <f>+C33</f>
        <v>153</v>
      </c>
      <c r="F33" s="946">
        <f aca="true" t="shared" si="14" ref="F33">$E33*$F$10</f>
        <v>3.2742</v>
      </c>
      <c r="G33" s="947">
        <f aca="true" t="shared" si="15" ref="G33">+$E33*$G$10</f>
        <v>0.918</v>
      </c>
      <c r="H33" s="946">
        <f aca="true" t="shared" si="16" ref="H33">$E33*$H$10</f>
        <v>4.59</v>
      </c>
      <c r="I33" s="948">
        <f aca="true" t="shared" si="17" ref="I33">$E33*$I$10</f>
        <v>12.0105</v>
      </c>
      <c r="J33" s="184"/>
      <c r="K33" s="949">
        <f aca="true" t="shared" si="18" ref="K33">+F33+G33+H33+I33</f>
        <v>20.7927</v>
      </c>
      <c r="L33" s="950"/>
      <c r="M33" s="951">
        <f>ROUND(+K33*$L$10,2)</f>
        <v>12.88</v>
      </c>
      <c r="O33" s="952">
        <f>+M33</f>
        <v>12.88</v>
      </c>
    </row>
    <row r="34" spans="1:15" ht="12.75">
      <c r="A34" s="213"/>
      <c r="B34" s="941"/>
      <c r="C34" s="941"/>
      <c r="D34" s="941"/>
      <c r="E34" s="941"/>
      <c r="F34" s="941"/>
      <c r="G34" s="942"/>
      <c r="H34" s="941"/>
      <c r="I34" s="941"/>
      <c r="J34" s="31"/>
      <c r="K34" s="942"/>
      <c r="L34" s="96"/>
      <c r="M34" s="943"/>
      <c r="O34" s="941"/>
    </row>
    <row r="35" spans="1:15" ht="12.75">
      <c r="A35" s="213"/>
      <c r="C35" s="142"/>
      <c r="N35" s="133" t="s">
        <v>12</v>
      </c>
      <c r="O35" s="142">
        <f>SUM(O12:O31)+O33</f>
        <v>4097.089</v>
      </c>
    </row>
  </sheetData>
  <sheetProtection password="CC53" sheet="1" objects="1" scenarios="1"/>
  <mergeCells count="18">
    <mergeCell ref="C8:C9"/>
    <mergeCell ref="D8:D9"/>
    <mergeCell ref="O8:O9"/>
    <mergeCell ref="L8:L9"/>
    <mergeCell ref="M8:M9"/>
    <mergeCell ref="A1:K1"/>
    <mergeCell ref="A2:K2"/>
    <mergeCell ref="A3:D6"/>
    <mergeCell ref="E8:E9"/>
    <mergeCell ref="K8:K9"/>
    <mergeCell ref="I8:I9"/>
    <mergeCell ref="H8:H9"/>
    <mergeCell ref="G8:G9"/>
    <mergeCell ref="A8:A9"/>
    <mergeCell ref="B8:B9"/>
    <mergeCell ref="E3:K3"/>
    <mergeCell ref="E5:K5"/>
    <mergeCell ref="F8:F9"/>
  </mergeCells>
  <printOptions horizontalCentered="1" verticalCentered="1"/>
  <pageMargins left="0.6299212598425197" right="0.6299212598425197" top="1" bottom="1.3779527559055118" header="0" footer="1.062992125984252"/>
  <pageSetup horizontalDpi="600" verticalDpi="600" orientation="landscape" scale="65" r:id="rId2"/>
  <headerFooter alignWithMargins="0">
    <oddHeader>&amp;C&amp;F</oddHeader>
    <oddFooter>&amp;L&amp;8HOJA:  &amp;A&amp;R&amp;D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="85" zoomScaleNormal="85" workbookViewId="0" topLeftCell="A1">
      <selection activeCell="A1" sqref="A1:M34"/>
    </sheetView>
  </sheetViews>
  <sheetFormatPr defaultColWidth="11.421875" defaultRowHeight="12.75"/>
  <cols>
    <col min="1" max="1" width="38.421875" style="133" customWidth="1"/>
    <col min="2" max="2" width="17.8515625" style="133" customWidth="1"/>
    <col min="3" max="3" width="14.421875" style="133" customWidth="1"/>
    <col min="4" max="4" width="13.421875" style="133" customWidth="1"/>
    <col min="5" max="5" width="11.8515625" style="133" customWidth="1"/>
    <col min="6" max="6" width="11.421875" style="133" customWidth="1"/>
    <col min="7" max="7" width="12.8515625" style="133" customWidth="1"/>
    <col min="8" max="8" width="11.28125" style="133" customWidth="1"/>
    <col min="9" max="9" width="17.57421875" style="133" customWidth="1"/>
    <col min="10" max="10" width="11.8515625" style="133" customWidth="1"/>
    <col min="11" max="11" width="23.28125" style="133" customWidth="1"/>
    <col min="12" max="16384" width="11.421875" style="133" customWidth="1"/>
  </cols>
  <sheetData>
    <row r="1" spans="1:11" ht="18">
      <c r="A1" s="969" t="s">
        <v>13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</row>
    <row r="2" spans="1:11" ht="39.6" customHeight="1" thickBot="1">
      <c r="A2" s="992" t="s">
        <v>23</v>
      </c>
      <c r="B2" s="992"/>
      <c r="C2" s="992"/>
      <c r="D2" s="992"/>
      <c r="E2" s="992"/>
      <c r="F2" s="992"/>
      <c r="G2" s="992"/>
      <c r="H2" s="992"/>
      <c r="I2" s="992"/>
      <c r="J2" s="992"/>
      <c r="K2" s="992"/>
    </row>
    <row r="3" spans="1:11" ht="27.6" customHeight="1">
      <c r="A3" s="993" t="s">
        <v>25</v>
      </c>
      <c r="B3" s="994"/>
      <c r="C3" s="994"/>
      <c r="D3" s="994"/>
      <c r="E3" s="1001" t="s">
        <v>115</v>
      </c>
      <c r="F3" s="1002"/>
      <c r="G3" s="1002"/>
      <c r="H3" s="1002"/>
      <c r="I3" s="1002"/>
      <c r="J3" s="1002"/>
      <c r="K3" s="1003"/>
    </row>
    <row r="4" spans="1:11" ht="27.6" customHeight="1" thickBot="1">
      <c r="A4" s="995"/>
      <c r="B4" s="996"/>
      <c r="C4" s="996"/>
      <c r="D4" s="996"/>
      <c r="E4" s="52"/>
      <c r="F4" s="31"/>
      <c r="G4" s="31"/>
      <c r="H4" s="31"/>
      <c r="I4" s="31"/>
      <c r="J4" s="31"/>
      <c r="K4" s="131"/>
    </row>
    <row r="5" spans="1:11" ht="27.6" customHeight="1">
      <c r="A5" s="995"/>
      <c r="B5" s="996"/>
      <c r="C5" s="996"/>
      <c r="D5" s="996"/>
      <c r="E5" s="1001" t="s">
        <v>116</v>
      </c>
      <c r="F5" s="1002"/>
      <c r="G5" s="1002"/>
      <c r="H5" s="1002"/>
      <c r="I5" s="1002"/>
      <c r="J5" s="1002"/>
      <c r="K5" s="1003"/>
    </row>
    <row r="6" spans="1:11" ht="27.6" customHeight="1" thickBot="1">
      <c r="A6" s="997"/>
      <c r="B6" s="998"/>
      <c r="C6" s="998"/>
      <c r="D6" s="998"/>
      <c r="E6" s="134"/>
      <c r="F6" s="106"/>
      <c r="G6" s="106"/>
      <c r="H6" s="106"/>
      <c r="I6" s="106"/>
      <c r="J6" s="106"/>
      <c r="K6" s="107"/>
    </row>
    <row r="7" spans="1:11" ht="18" customHeight="1" thickBot="1">
      <c r="A7" s="178"/>
      <c r="B7" s="178"/>
      <c r="C7" s="178"/>
      <c r="D7" s="178"/>
      <c r="E7" s="31"/>
      <c r="F7" s="31"/>
      <c r="G7" s="31"/>
      <c r="H7" s="106"/>
      <c r="I7" s="31"/>
      <c r="J7" s="31"/>
      <c r="K7" s="31"/>
    </row>
    <row r="8" spans="1:15" ht="26.45" customHeight="1">
      <c r="A8" s="991" t="s">
        <v>24</v>
      </c>
      <c r="B8" s="991" t="s">
        <v>17</v>
      </c>
      <c r="C8" s="1004" t="s">
        <v>1</v>
      </c>
      <c r="D8" s="1004" t="s">
        <v>310</v>
      </c>
      <c r="E8" s="999" t="s">
        <v>131</v>
      </c>
      <c r="F8" s="1000" t="s">
        <v>201</v>
      </c>
      <c r="G8" s="1000" t="s">
        <v>202</v>
      </c>
      <c r="H8" s="1000" t="s">
        <v>203</v>
      </c>
      <c r="I8" s="1000" t="s">
        <v>113</v>
      </c>
      <c r="J8" s="246"/>
      <c r="K8" s="991" t="s">
        <v>114</v>
      </c>
      <c r="L8" s="990" t="s">
        <v>111</v>
      </c>
      <c r="M8" s="991" t="s">
        <v>200</v>
      </c>
      <c r="O8" s="988" t="s">
        <v>312</v>
      </c>
    </row>
    <row r="9" spans="1:15" ht="16.9" customHeight="1">
      <c r="A9" s="991"/>
      <c r="B9" s="991"/>
      <c r="C9" s="1005"/>
      <c r="D9" s="1005"/>
      <c r="E9" s="999"/>
      <c r="F9" s="1000"/>
      <c r="G9" s="1000"/>
      <c r="H9" s="1000"/>
      <c r="I9" s="1000"/>
      <c r="J9" s="247"/>
      <c r="K9" s="991"/>
      <c r="L9" s="990"/>
      <c r="M9" s="991"/>
      <c r="O9" s="989"/>
    </row>
    <row r="10" spans="1:15" ht="18.75" customHeight="1">
      <c r="A10" s="252" t="s">
        <v>15</v>
      </c>
      <c r="B10" s="250"/>
      <c r="C10" s="900"/>
      <c r="D10" s="250"/>
      <c r="E10" s="901"/>
      <c r="F10" s="333">
        <f>+'Parámetros de eficiencia'!C5</f>
        <v>0.0214</v>
      </c>
      <c r="G10" s="333">
        <f>+'Parámetros de eficiencia'!C6</f>
        <v>0.006</v>
      </c>
      <c r="H10" s="505">
        <v>0.03</v>
      </c>
      <c r="I10" s="333">
        <f>+'Parámetros de eficiencia'!C7</f>
        <v>0.0785</v>
      </c>
      <c r="J10" s="334"/>
      <c r="K10" s="251"/>
      <c r="L10" s="478">
        <f>+'VERIFICACIÓN DE INGRESOS'!B6</f>
        <v>0.6196857165490125</v>
      </c>
      <c r="M10" s="251"/>
      <c r="O10" s="903"/>
    </row>
    <row r="11" spans="1:15" ht="12.75">
      <c r="A11" s="258" t="s">
        <v>3</v>
      </c>
      <c r="B11" s="211"/>
      <c r="C11" s="248"/>
      <c r="D11" s="211"/>
      <c r="E11" s="248"/>
      <c r="F11" s="249"/>
      <c r="G11" s="183"/>
      <c r="H11" s="249"/>
      <c r="I11" s="259"/>
      <c r="J11" s="183"/>
      <c r="K11" s="268"/>
      <c r="L11" s="249"/>
      <c r="M11" s="259"/>
      <c r="O11" s="904"/>
    </row>
    <row r="12" spans="1:15" ht="12.75">
      <c r="A12" s="260" t="s">
        <v>148</v>
      </c>
      <c r="B12" s="95" t="str">
        <f>+'[6]VNR2004'!B8</f>
        <v>Miles B/./Salida</v>
      </c>
      <c r="C12" s="185">
        <f>+'CX cxj Año1 '!C12+' VNR'!F33/2+' VNR'!I33/2</f>
        <v>2539.207</v>
      </c>
      <c r="D12" s="95">
        <f>+' VNR'!D5</f>
        <v>4</v>
      </c>
      <c r="E12" s="185">
        <f>+C12/D12</f>
        <v>634.80175</v>
      </c>
      <c r="F12" s="95">
        <f>$E12*$F$10</f>
        <v>13.584757449999998</v>
      </c>
      <c r="G12" s="186">
        <f>+$E12*$G$10</f>
        <v>3.8088105</v>
      </c>
      <c r="H12" s="95">
        <f>$E12*$H$10</f>
        <v>19.0440525</v>
      </c>
      <c r="I12" s="261">
        <f>$E12*$I$10</f>
        <v>49.831937374999995</v>
      </c>
      <c r="J12" s="184"/>
      <c r="K12" s="279">
        <f>+F12+G12+H12+I12</f>
        <v>86.26955782499999</v>
      </c>
      <c r="L12" s="280"/>
      <c r="M12" s="881">
        <f>ROUND(+K12*$L$10,2)</f>
        <v>53.46</v>
      </c>
      <c r="N12" s="304"/>
      <c r="O12" s="905">
        <f>+M12*D12</f>
        <v>213.84</v>
      </c>
    </row>
    <row r="13" spans="1:15" ht="12.75">
      <c r="A13" s="260" t="s">
        <v>149</v>
      </c>
      <c r="B13" s="95" t="str">
        <f>+'[6]VNR2004'!B9</f>
        <v>Miles B/./Salida</v>
      </c>
      <c r="C13" s="185">
        <f>+'CX cxj Año1 '!C13+' VNR'!F34/2+' VNR'!I34/2</f>
        <v>7767.087</v>
      </c>
      <c r="D13" s="95">
        <f>+' VNR'!D6</f>
        <v>14</v>
      </c>
      <c r="E13" s="185">
        <f aca="true" t="shared" si="0" ref="E13:E15">+C13/D13</f>
        <v>554.7919285714286</v>
      </c>
      <c r="F13" s="95">
        <f aca="true" t="shared" si="1" ref="F13:F26">$E13*$F$10</f>
        <v>11.872547271428571</v>
      </c>
      <c r="G13" s="186">
        <f aca="true" t="shared" si="2" ref="G13:G26">+$E13*$G$10</f>
        <v>3.3287515714285716</v>
      </c>
      <c r="H13" s="95">
        <f aca="true" t="shared" si="3" ref="H13:H26">$E13*$H$10</f>
        <v>16.643757857142855</v>
      </c>
      <c r="I13" s="261">
        <f aca="true" t="shared" si="4" ref="I13:I26">$E13*$I$10</f>
        <v>43.55116639285714</v>
      </c>
      <c r="J13" s="184"/>
      <c r="K13" s="279">
        <f aca="true" t="shared" si="5" ref="K13:K19">+F13+G13+H13+I13</f>
        <v>75.39622309285714</v>
      </c>
      <c r="L13" s="280"/>
      <c r="M13" s="881">
        <f aca="true" t="shared" si="6" ref="M13:M23">ROUND(+K13*$L$10,2)</f>
        <v>46.72</v>
      </c>
      <c r="O13" s="905">
        <f aca="true" t="shared" si="7" ref="O13:O15">+M13*D13</f>
        <v>654.0799999999999</v>
      </c>
    </row>
    <row r="14" spans="1:15" ht="12.75">
      <c r="A14" s="260" t="s">
        <v>150</v>
      </c>
      <c r="B14" s="95" t="str">
        <f>+'[6]VNR2004'!B10</f>
        <v>Miles B/./Salida</v>
      </c>
      <c r="C14" s="185">
        <f>+'CX cxj Año1 '!C14+' VNR'!F35/2+' VNR'!I35/2</f>
        <v>1677.1</v>
      </c>
      <c r="D14" s="95">
        <f>+' VNR'!D7</f>
        <v>3</v>
      </c>
      <c r="E14" s="185">
        <f t="shared" si="0"/>
        <v>559.0333333333333</v>
      </c>
      <c r="F14" s="95">
        <f t="shared" si="1"/>
        <v>11.963313333333332</v>
      </c>
      <c r="G14" s="186">
        <f t="shared" si="2"/>
        <v>3.3542</v>
      </c>
      <c r="H14" s="95">
        <f t="shared" si="3"/>
        <v>16.770999999999997</v>
      </c>
      <c r="I14" s="261">
        <f t="shared" si="4"/>
        <v>43.884116666666664</v>
      </c>
      <c r="J14" s="184"/>
      <c r="K14" s="279">
        <f t="shared" si="5"/>
        <v>75.97263</v>
      </c>
      <c r="L14" s="280"/>
      <c r="M14" s="881">
        <f t="shared" si="6"/>
        <v>47.08</v>
      </c>
      <c r="O14" s="905">
        <f t="shared" si="7"/>
        <v>141.24</v>
      </c>
    </row>
    <row r="15" spans="1:15" ht="12.75">
      <c r="A15" s="260" t="s">
        <v>151</v>
      </c>
      <c r="B15" s="95" t="str">
        <f>+'[6]VNR2004'!B11</f>
        <v>Miles B/./Salida</v>
      </c>
      <c r="C15" s="185">
        <f>+'CX cxj Año1 '!C15+' VNR'!F36/2+' VNR'!I36/2</f>
        <v>4931.205</v>
      </c>
      <c r="D15" s="95">
        <f>+' VNR'!D8</f>
        <v>4</v>
      </c>
      <c r="E15" s="185">
        <f t="shared" si="0"/>
        <v>1232.80125</v>
      </c>
      <c r="F15" s="95">
        <f t="shared" si="1"/>
        <v>26.381946749999997</v>
      </c>
      <c r="G15" s="186">
        <f t="shared" si="2"/>
        <v>7.3968075</v>
      </c>
      <c r="H15" s="95">
        <f t="shared" si="3"/>
        <v>36.9840375</v>
      </c>
      <c r="I15" s="261">
        <f t="shared" si="4"/>
        <v>96.77489812499999</v>
      </c>
      <c r="J15" s="184"/>
      <c r="K15" s="279">
        <f t="shared" si="5"/>
        <v>167.53768987499998</v>
      </c>
      <c r="L15" s="280"/>
      <c r="M15" s="881">
        <f t="shared" si="6"/>
        <v>103.82</v>
      </c>
      <c r="O15" s="905">
        <f t="shared" si="7"/>
        <v>415.28</v>
      </c>
    </row>
    <row r="16" spans="1:15" ht="12.75">
      <c r="A16" s="260" t="s">
        <v>160</v>
      </c>
      <c r="B16" s="182" t="s">
        <v>73</v>
      </c>
      <c r="C16" s="185">
        <f>+'CX cxj Año1 '!C16+' VNR'!F37/2+' VNR'!I37/2</f>
        <v>0</v>
      </c>
      <c r="D16" s="95">
        <f>+' VNR'!D9</f>
        <v>0</v>
      </c>
      <c r="E16" s="185">
        <f>+' VNR'!E9</f>
        <v>0</v>
      </c>
      <c r="F16" s="95">
        <f t="shared" si="1"/>
        <v>0</v>
      </c>
      <c r="G16" s="186">
        <f t="shared" si="2"/>
        <v>0</v>
      </c>
      <c r="H16" s="95">
        <f t="shared" si="3"/>
        <v>0</v>
      </c>
      <c r="I16" s="261">
        <f t="shared" si="4"/>
        <v>0</v>
      </c>
      <c r="J16" s="184"/>
      <c r="K16" s="882" t="s">
        <v>198</v>
      </c>
      <c r="L16" s="280"/>
      <c r="M16" s="882" t="s">
        <v>198</v>
      </c>
      <c r="O16" s="905">
        <f>+' VNR'!O9</f>
        <v>0</v>
      </c>
    </row>
    <row r="17" spans="1:15" ht="12.75">
      <c r="A17" s="260" t="s">
        <v>161</v>
      </c>
      <c r="B17" s="95" t="str">
        <f>+'[6]VNR2004'!B13</f>
        <v>Miles B/./Salida</v>
      </c>
      <c r="C17" s="185">
        <f>+'CX cxj Año1 '!C17+' VNR'!F38/2+' VNR'!I38/2</f>
        <v>0</v>
      </c>
      <c r="D17" s="95"/>
      <c r="E17" s="185"/>
      <c r="F17" s="95">
        <f t="shared" si="1"/>
        <v>0</v>
      </c>
      <c r="G17" s="186">
        <f t="shared" si="2"/>
        <v>0</v>
      </c>
      <c r="H17" s="95">
        <f t="shared" si="3"/>
        <v>0</v>
      </c>
      <c r="I17" s="261">
        <f t="shared" si="4"/>
        <v>0</v>
      </c>
      <c r="J17" s="184"/>
      <c r="K17" s="481" t="s">
        <v>198</v>
      </c>
      <c r="L17" s="280"/>
      <c r="M17" s="882" t="s">
        <v>198</v>
      </c>
      <c r="O17" s="905"/>
    </row>
    <row r="18" spans="1:15" ht="12.75">
      <c r="A18" s="294" t="s">
        <v>152</v>
      </c>
      <c r="B18" s="182" t="s">
        <v>73</v>
      </c>
      <c r="C18" s="185">
        <f>+'CX cxj Año1 '!C18+' VNR'!F39/2+' VNR'!I39/2</f>
        <v>3473.011</v>
      </c>
      <c r="D18" s="95">
        <f>+' VNR'!D11</f>
        <v>2</v>
      </c>
      <c r="E18" s="185">
        <f aca="true" t="shared" si="8" ref="E18:E19">+C18/D18</f>
        <v>1736.5055</v>
      </c>
      <c r="F18" s="95">
        <f t="shared" si="1"/>
        <v>37.161217699999995</v>
      </c>
      <c r="G18" s="186">
        <f t="shared" si="2"/>
        <v>10.419033</v>
      </c>
      <c r="H18" s="95">
        <f t="shared" si="3"/>
        <v>52.095164999999994</v>
      </c>
      <c r="I18" s="261">
        <f t="shared" si="4"/>
        <v>136.31568175</v>
      </c>
      <c r="J18" s="184"/>
      <c r="K18" s="480">
        <f t="shared" si="5"/>
        <v>235.99109744999998</v>
      </c>
      <c r="L18" s="280"/>
      <c r="M18" s="881">
        <f>ROUND(+K18*$L$10,2)</f>
        <v>146.24</v>
      </c>
      <c r="O18" s="905">
        <f aca="true" t="shared" si="9" ref="O18:O19">+M18*D18</f>
        <v>292.48</v>
      </c>
    </row>
    <row r="19" spans="1:15" ht="12.75">
      <c r="A19" s="486" t="s">
        <v>271</v>
      </c>
      <c r="B19" s="182" t="s">
        <v>73</v>
      </c>
      <c r="C19" s="185">
        <f>+'CX cxj Año1 '!C19+' VNR'!F40/2+' VNR'!I40/2</f>
        <v>7185</v>
      </c>
      <c r="D19" s="95">
        <f>+' VNR'!G40</f>
        <v>3</v>
      </c>
      <c r="E19" s="185">
        <f t="shared" si="8"/>
        <v>2395</v>
      </c>
      <c r="F19" s="95">
        <f t="shared" si="1"/>
        <v>51.253</v>
      </c>
      <c r="G19" s="186">
        <f t="shared" si="2"/>
        <v>14.370000000000001</v>
      </c>
      <c r="H19" s="95">
        <f t="shared" si="3"/>
        <v>71.85</v>
      </c>
      <c r="I19" s="261">
        <f t="shared" si="4"/>
        <v>188.0075</v>
      </c>
      <c r="J19" s="184"/>
      <c r="K19" s="480">
        <f t="shared" si="5"/>
        <v>325.4805</v>
      </c>
      <c r="L19" s="280"/>
      <c r="M19" s="881">
        <f>ROUND(+K19*$L$10,2)</f>
        <v>201.7</v>
      </c>
      <c r="O19" s="905">
        <f t="shared" si="9"/>
        <v>605.0999999999999</v>
      </c>
    </row>
    <row r="20" spans="1:15" ht="12.75">
      <c r="A20" s="908" t="s">
        <v>4</v>
      </c>
      <c r="B20" s="95"/>
      <c r="C20" s="185">
        <f>+'CX cxj Año1 '!C20+' VNR'!F42/2+' VNR'!I42/2</f>
        <v>0</v>
      </c>
      <c r="D20" s="95"/>
      <c r="E20" s="185"/>
      <c r="F20" s="95"/>
      <c r="G20" s="186"/>
      <c r="H20" s="95"/>
      <c r="I20" s="261"/>
      <c r="J20" s="184"/>
      <c r="K20" s="480"/>
      <c r="L20" s="280"/>
      <c r="M20" s="881"/>
      <c r="O20" s="905"/>
    </row>
    <row r="21" spans="1:15" ht="12.75">
      <c r="A21" s="305" t="str">
        <f>+' VNR'!B15</f>
        <v>CXTR Reductor 60/80/100 MVA</v>
      </c>
      <c r="B21" s="95" t="s">
        <v>159</v>
      </c>
      <c r="C21" s="185">
        <f>+'CX cxj Año1 '!C21+' VNR'!F43/2+' VNR'!I43/2</f>
        <v>8326</v>
      </c>
      <c r="D21" s="95">
        <f>+' VNR'!D43</f>
        <v>200</v>
      </c>
      <c r="E21" s="185">
        <f aca="true" t="shared" si="10" ref="E21:E24">+C21/D21</f>
        <v>41.63</v>
      </c>
      <c r="F21" s="95">
        <f t="shared" si="1"/>
        <v>0.8908820000000001</v>
      </c>
      <c r="G21" s="186">
        <f t="shared" si="2"/>
        <v>0.24978000000000003</v>
      </c>
      <c r="H21" s="95">
        <f t="shared" si="3"/>
        <v>1.2489000000000001</v>
      </c>
      <c r="I21" s="261">
        <f t="shared" si="4"/>
        <v>3.267955</v>
      </c>
      <c r="J21" s="184"/>
      <c r="K21" s="482">
        <f>+G21+F21+H21+I21</f>
        <v>5.657517</v>
      </c>
      <c r="L21" s="280"/>
      <c r="M21" s="881">
        <f t="shared" si="6"/>
        <v>3.51</v>
      </c>
      <c r="O21" s="905">
        <f aca="true" t="shared" si="11" ref="O21:O26">+M21*D21</f>
        <v>702</v>
      </c>
    </row>
    <row r="22" spans="1:15" ht="12.75">
      <c r="A22" s="306" t="s">
        <v>5</v>
      </c>
      <c r="B22" s="95" t="s">
        <v>159</v>
      </c>
      <c r="C22" s="185">
        <f>+'CX cxj Año1 '!C22+' VNR'!F44/2+' VNR'!I44/2</f>
        <v>7460.677</v>
      </c>
      <c r="D22" s="95">
        <f>+' VNR'!D16</f>
        <v>140</v>
      </c>
      <c r="E22" s="185">
        <f t="shared" si="10"/>
        <v>53.290549999999996</v>
      </c>
      <c r="F22" s="95">
        <f t="shared" si="1"/>
        <v>1.1404177699999998</v>
      </c>
      <c r="G22" s="186">
        <f t="shared" si="2"/>
        <v>0.3197433</v>
      </c>
      <c r="H22" s="95">
        <f t="shared" si="3"/>
        <v>1.5987164999999999</v>
      </c>
      <c r="I22" s="261">
        <f t="shared" si="4"/>
        <v>4.183308175</v>
      </c>
      <c r="J22" s="184"/>
      <c r="K22" s="482">
        <f>+G22+F22+H22+I22</f>
        <v>7.242185745</v>
      </c>
      <c r="L22" s="280"/>
      <c r="M22" s="881">
        <f t="shared" si="6"/>
        <v>4.49</v>
      </c>
      <c r="O22" s="905">
        <f t="shared" si="11"/>
        <v>628.6</v>
      </c>
    </row>
    <row r="23" spans="1:15" ht="12.75">
      <c r="A23" s="306" t="s">
        <v>6</v>
      </c>
      <c r="B23" s="95" t="s">
        <v>159</v>
      </c>
      <c r="C23" s="185">
        <f>+'CX cxj Año1 '!C23+' VNR'!F45/2+' VNR'!I45/2</f>
        <v>5001.443</v>
      </c>
      <c r="D23" s="95">
        <f>+' VNR'!D17</f>
        <v>100</v>
      </c>
      <c r="E23" s="185">
        <f t="shared" si="10"/>
        <v>50.014430000000004</v>
      </c>
      <c r="F23" s="95">
        <f t="shared" si="1"/>
        <v>1.070308802</v>
      </c>
      <c r="G23" s="186">
        <f t="shared" si="2"/>
        <v>0.30008658000000005</v>
      </c>
      <c r="H23" s="95">
        <f t="shared" si="3"/>
        <v>1.5004329</v>
      </c>
      <c r="I23" s="261">
        <f t="shared" si="4"/>
        <v>3.9261327550000003</v>
      </c>
      <c r="J23" s="184"/>
      <c r="K23" s="283">
        <f>+G23+F23+H23+I23</f>
        <v>6.796961037000001</v>
      </c>
      <c r="L23" s="280"/>
      <c r="M23" s="881">
        <f t="shared" si="6"/>
        <v>4.21</v>
      </c>
      <c r="O23" s="905">
        <f t="shared" si="11"/>
        <v>421</v>
      </c>
    </row>
    <row r="24" spans="1:15" ht="12.75">
      <c r="A24" s="911" t="s">
        <v>7</v>
      </c>
      <c r="B24" s="95" t="s">
        <v>159</v>
      </c>
      <c r="C24" s="185">
        <f>+'CX cxj Año1 '!C24+' VNR'!F46/2+' VNR'!I46/2</f>
        <v>1768.618</v>
      </c>
      <c r="D24" s="95">
        <f>+' VNR'!D18</f>
        <v>24</v>
      </c>
      <c r="E24" s="185">
        <f t="shared" si="10"/>
        <v>73.69241666666666</v>
      </c>
      <c r="F24" s="95">
        <f t="shared" si="1"/>
        <v>1.5770177166666663</v>
      </c>
      <c r="G24" s="186">
        <f t="shared" si="2"/>
        <v>0.44215449999999995</v>
      </c>
      <c r="H24" s="95">
        <f t="shared" si="3"/>
        <v>2.2107724999999996</v>
      </c>
      <c r="I24" s="261">
        <f t="shared" si="4"/>
        <v>5.784854708333333</v>
      </c>
      <c r="J24" s="184"/>
      <c r="K24" s="283">
        <f>+G24+F24+H24+I24</f>
        <v>10.014799424999998</v>
      </c>
      <c r="L24" s="280"/>
      <c r="M24" s="881">
        <f>ROUND(+K24*$L$10,2)</f>
        <v>6.21</v>
      </c>
      <c r="N24" s="135"/>
      <c r="O24" s="905">
        <f t="shared" si="11"/>
        <v>149.04</v>
      </c>
    </row>
    <row r="25" spans="1:15" ht="12.75">
      <c r="A25" s="295" t="s">
        <v>8</v>
      </c>
      <c r="B25" s="484" t="s">
        <v>11</v>
      </c>
      <c r="C25" s="185">
        <f>+'CX cxj Año1 '!C25+' VNR'!F48/2+' VNR'!I48/2</f>
        <v>0</v>
      </c>
      <c r="D25" s="484"/>
      <c r="E25" s="185"/>
      <c r="F25" s="95"/>
      <c r="G25" s="186"/>
      <c r="H25" s="95"/>
      <c r="I25" s="261"/>
      <c r="J25" s="184"/>
      <c r="K25" s="283"/>
      <c r="L25" s="280"/>
      <c r="M25" s="281"/>
      <c r="N25" s="135"/>
      <c r="O25" s="905"/>
    </row>
    <row r="26" spans="1:15" ht="12.75">
      <c r="A26" s="262" t="s">
        <v>205</v>
      </c>
      <c r="B26" s="95" t="str">
        <f>+'[6]VNR2004'!B21</f>
        <v>Miles B/./km</v>
      </c>
      <c r="C26" s="185">
        <f>+'CX cxj Año1 '!C26+' VNR'!F49/2+' VNR'!I49/2</f>
        <v>4882.028</v>
      </c>
      <c r="D26" s="95">
        <f>+' VNR'!E75</f>
        <v>38.3</v>
      </c>
      <c r="E26" s="185">
        <f>+' VNR'!E21</f>
        <v>127.46809399477809</v>
      </c>
      <c r="F26" s="95">
        <f t="shared" si="1"/>
        <v>2.727817211488251</v>
      </c>
      <c r="G26" s="186">
        <f t="shared" si="2"/>
        <v>0.7648085639686686</v>
      </c>
      <c r="H26" s="95">
        <f t="shared" si="3"/>
        <v>3.8240428198433425</v>
      </c>
      <c r="I26" s="261">
        <f t="shared" si="4"/>
        <v>10.00624537859008</v>
      </c>
      <c r="J26" s="184"/>
      <c r="K26" s="279">
        <f aca="true" t="shared" si="12" ref="K26">+F26+G26+H26+I26</f>
        <v>17.322913973890344</v>
      </c>
      <c r="L26" s="280"/>
      <c r="M26" s="281">
        <f>ROUND(+K26*$L$10,2)</f>
        <v>10.73</v>
      </c>
      <c r="N26" s="135"/>
      <c r="O26" s="905">
        <f t="shared" si="11"/>
        <v>410.959</v>
      </c>
    </row>
    <row r="27" spans="1:15" ht="12.75">
      <c r="A27" s="262" t="s">
        <v>209</v>
      </c>
      <c r="B27" s="95" t="str">
        <f>+'[6]VNR2004'!B22</f>
        <v>Miles B/./km</v>
      </c>
      <c r="C27" s="185"/>
      <c r="D27" s="95"/>
      <c r="E27" s="185"/>
      <c r="F27" s="95"/>
      <c r="G27" s="186"/>
      <c r="H27" s="95"/>
      <c r="I27" s="261"/>
      <c r="J27" s="184"/>
      <c r="K27" s="279"/>
      <c r="L27" s="280"/>
      <c r="M27" s="282" t="s">
        <v>198</v>
      </c>
      <c r="N27" s="135"/>
      <c r="O27" s="905">
        <f>+' VNR'!O22</f>
        <v>0</v>
      </c>
    </row>
    <row r="28" spans="1:15" ht="12.75">
      <c r="A28" s="262" t="s">
        <v>155</v>
      </c>
      <c r="B28" s="95" t="str">
        <f>+'[6]VNR2004'!B23</f>
        <v>Miles B/./km</v>
      </c>
      <c r="C28" s="185"/>
      <c r="D28" s="95"/>
      <c r="E28" s="185"/>
      <c r="F28" s="95"/>
      <c r="G28" s="186"/>
      <c r="H28" s="95"/>
      <c r="I28" s="261"/>
      <c r="J28" s="184"/>
      <c r="K28" s="279"/>
      <c r="L28" s="280"/>
      <c r="M28" s="282" t="s">
        <v>198</v>
      </c>
      <c r="O28" s="905">
        <f>+' VNR'!O23</f>
        <v>0</v>
      </c>
    </row>
    <row r="29" spans="1:15" ht="12.75">
      <c r="A29" s="262" t="s">
        <v>204</v>
      </c>
      <c r="B29" s="95" t="str">
        <f>+'[6]VNR2004'!B24</f>
        <v>Miles B/./km</v>
      </c>
      <c r="C29" s="185"/>
      <c r="D29" s="256"/>
      <c r="E29" s="332"/>
      <c r="F29" s="95"/>
      <c r="G29" s="186"/>
      <c r="H29" s="95"/>
      <c r="I29" s="261"/>
      <c r="J29" s="184"/>
      <c r="K29" s="279"/>
      <c r="L29" s="284"/>
      <c r="M29" s="282" t="s">
        <v>198</v>
      </c>
      <c r="O29" s="906">
        <f>+' VNR'!K24</f>
        <v>0</v>
      </c>
    </row>
    <row r="30" spans="1:15" ht="12.75">
      <c r="A30" s="262" t="s">
        <v>208</v>
      </c>
      <c r="B30" s="182" t="s">
        <v>206</v>
      </c>
      <c r="C30" s="185"/>
      <c r="D30" s="902"/>
      <c r="E30" s="332"/>
      <c r="F30" s="256"/>
      <c r="G30" s="257"/>
      <c r="H30" s="256"/>
      <c r="I30" s="263"/>
      <c r="J30" s="184"/>
      <c r="K30" s="285"/>
      <c r="L30" s="284"/>
      <c r="M30" s="282" t="s">
        <v>198</v>
      </c>
      <c r="O30" s="906">
        <f>+' VNR'!K25</f>
        <v>0</v>
      </c>
    </row>
    <row r="31" spans="1:15" ht="13.5" thickBot="1">
      <c r="A31" s="264" t="s">
        <v>207</v>
      </c>
      <c r="B31" s="265" t="str">
        <f>+'[6]VNR2004'!B24</f>
        <v>Miles B/./km</v>
      </c>
      <c r="C31" s="265"/>
      <c r="D31" s="265"/>
      <c r="E31" s="267"/>
      <c r="F31" s="265"/>
      <c r="G31" s="266"/>
      <c r="H31" s="265"/>
      <c r="I31" s="267"/>
      <c r="J31" s="184"/>
      <c r="K31" s="286"/>
      <c r="L31" s="287"/>
      <c r="M31" s="288" t="s">
        <v>198</v>
      </c>
      <c r="O31" s="907">
        <f>+' VNR'!O26</f>
        <v>0</v>
      </c>
    </row>
    <row r="32" spans="1:15" ht="12.75">
      <c r="A32" s="213"/>
      <c r="C32" s="142"/>
      <c r="O32" s="142"/>
    </row>
    <row r="33" spans="1:15" ht="13.5" thickBot="1">
      <c r="A33" s="964" t="s">
        <v>319</v>
      </c>
      <c r="B33" s="944"/>
      <c r="C33" s="944">
        <f>+'CX cxj Año1 '!C33+' VNR'!F41/2+' VNR'!I41/2+' VNR'!F47/2+' VNR'!I47/2</f>
        <v>5175</v>
      </c>
      <c r="D33" s="944"/>
      <c r="E33" s="945">
        <f>+C33</f>
        <v>5175</v>
      </c>
      <c r="F33" s="944">
        <f aca="true" t="shared" si="13" ref="F33">$E33*$F$10</f>
        <v>110.74499999999999</v>
      </c>
      <c r="G33" s="953">
        <f aca="true" t="shared" si="14" ref="G33">+$E33*$G$10</f>
        <v>31.05</v>
      </c>
      <c r="H33" s="944">
        <f aca="true" t="shared" si="15" ref="H33">$E33*$H$10</f>
        <v>155.25</v>
      </c>
      <c r="I33" s="945">
        <f aca="true" t="shared" si="16" ref="I33">$E33*$I$10</f>
        <v>406.2375</v>
      </c>
      <c r="J33" s="184"/>
      <c r="K33" s="954">
        <f aca="true" t="shared" si="17" ref="K33">+F33+G33+H33+I33</f>
        <v>703.2825</v>
      </c>
      <c r="L33" s="950"/>
      <c r="M33" s="955">
        <f>ROUND(+K33*$L$10,2)</f>
        <v>435.81</v>
      </c>
      <c r="O33" s="952">
        <f>+M33</f>
        <v>435.81</v>
      </c>
    </row>
    <row r="34" spans="1:15" ht="12.75">
      <c r="A34" s="213"/>
      <c r="B34" s="941"/>
      <c r="C34" s="941"/>
      <c r="D34" s="941"/>
      <c r="E34" s="941"/>
      <c r="F34" s="941"/>
      <c r="G34" s="942"/>
      <c r="H34" s="941"/>
      <c r="I34" s="941"/>
      <c r="J34" s="31"/>
      <c r="K34" s="942"/>
      <c r="L34" s="96"/>
      <c r="M34" s="943"/>
      <c r="O34" s="941"/>
    </row>
    <row r="35" spans="1:15" ht="12.75">
      <c r="A35" s="213"/>
      <c r="C35" s="142"/>
      <c r="N35" s="133" t="s">
        <v>12</v>
      </c>
      <c r="O35" s="142">
        <f>SUM(O12:O31)+O33</f>
        <v>5069.429</v>
      </c>
    </row>
  </sheetData>
  <sheetProtection password="CC53" sheet="1" objects="1" scenarios="1"/>
  <mergeCells count="18">
    <mergeCell ref="L8:L9"/>
    <mergeCell ref="M8:M9"/>
    <mergeCell ref="O8:O9"/>
    <mergeCell ref="F8:F9"/>
    <mergeCell ref="G8:G9"/>
    <mergeCell ref="I8:I9"/>
    <mergeCell ref="K8:K9"/>
    <mergeCell ref="H8:H9"/>
    <mergeCell ref="A1:K1"/>
    <mergeCell ref="A2:K2"/>
    <mergeCell ref="A3:D6"/>
    <mergeCell ref="E3:K3"/>
    <mergeCell ref="E5:K5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="85" zoomScaleNormal="85" workbookViewId="0" topLeftCell="A1">
      <selection activeCell="G41" sqref="G41"/>
    </sheetView>
  </sheetViews>
  <sheetFormatPr defaultColWidth="11.421875" defaultRowHeight="12.75"/>
  <cols>
    <col min="1" max="1" width="38.421875" style="133" customWidth="1"/>
    <col min="2" max="2" width="17.8515625" style="133" customWidth="1"/>
    <col min="3" max="3" width="14.421875" style="133" customWidth="1"/>
    <col min="4" max="4" width="13.421875" style="133" customWidth="1"/>
    <col min="5" max="5" width="11.8515625" style="133" customWidth="1"/>
    <col min="6" max="6" width="11.421875" style="133" customWidth="1"/>
    <col min="7" max="7" width="12.8515625" style="133" customWidth="1"/>
    <col min="8" max="8" width="11.28125" style="133" customWidth="1"/>
    <col min="9" max="9" width="17.57421875" style="133" customWidth="1"/>
    <col min="10" max="10" width="11.8515625" style="133" customWidth="1"/>
    <col min="11" max="11" width="23.28125" style="133" customWidth="1"/>
    <col min="12" max="16384" width="11.421875" style="133" customWidth="1"/>
  </cols>
  <sheetData>
    <row r="1" spans="1:11" ht="18">
      <c r="A1" s="969" t="s">
        <v>13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</row>
    <row r="2" spans="1:11" ht="39.6" customHeight="1" thickBot="1">
      <c r="A2" s="992" t="s">
        <v>23</v>
      </c>
      <c r="B2" s="992"/>
      <c r="C2" s="992"/>
      <c r="D2" s="992"/>
      <c r="E2" s="992"/>
      <c r="F2" s="992"/>
      <c r="G2" s="992"/>
      <c r="H2" s="992"/>
      <c r="I2" s="992"/>
      <c r="J2" s="992"/>
      <c r="K2" s="992"/>
    </row>
    <row r="3" spans="1:11" ht="27.6" customHeight="1">
      <c r="A3" s="993" t="s">
        <v>25</v>
      </c>
      <c r="B3" s="994"/>
      <c r="C3" s="994"/>
      <c r="D3" s="994"/>
      <c r="E3" s="1001" t="s">
        <v>115</v>
      </c>
      <c r="F3" s="1002"/>
      <c r="G3" s="1002"/>
      <c r="H3" s="1002"/>
      <c r="I3" s="1002"/>
      <c r="J3" s="1002"/>
      <c r="K3" s="1003"/>
    </row>
    <row r="4" spans="1:11" ht="27.6" customHeight="1" thickBot="1">
      <c r="A4" s="995"/>
      <c r="B4" s="996"/>
      <c r="C4" s="996"/>
      <c r="D4" s="996"/>
      <c r="E4" s="52"/>
      <c r="F4" s="31"/>
      <c r="G4" s="31"/>
      <c r="H4" s="31"/>
      <c r="I4" s="31"/>
      <c r="J4" s="31"/>
      <c r="K4" s="131"/>
    </row>
    <row r="5" spans="1:11" ht="27.6" customHeight="1">
      <c r="A5" s="995"/>
      <c r="B5" s="996"/>
      <c r="C5" s="996"/>
      <c r="D5" s="996"/>
      <c r="E5" s="1001" t="s">
        <v>116</v>
      </c>
      <c r="F5" s="1002"/>
      <c r="G5" s="1002"/>
      <c r="H5" s="1002"/>
      <c r="I5" s="1002"/>
      <c r="J5" s="1002"/>
      <c r="K5" s="1003"/>
    </row>
    <row r="6" spans="1:11" ht="27.6" customHeight="1" thickBot="1">
      <c r="A6" s="997"/>
      <c r="B6" s="998"/>
      <c r="C6" s="998"/>
      <c r="D6" s="998"/>
      <c r="E6" s="134"/>
      <c r="F6" s="106"/>
      <c r="G6" s="106"/>
      <c r="H6" s="106"/>
      <c r="I6" s="106"/>
      <c r="J6" s="106"/>
      <c r="K6" s="107"/>
    </row>
    <row r="7" spans="1:11" ht="18" customHeight="1" thickBot="1">
      <c r="A7" s="178"/>
      <c r="B7" s="178"/>
      <c r="C7" s="178"/>
      <c r="D7" s="178"/>
      <c r="E7" s="31"/>
      <c r="F7" s="31"/>
      <c r="G7" s="31"/>
      <c r="H7" s="106"/>
      <c r="I7" s="31"/>
      <c r="J7" s="31"/>
      <c r="K7" s="31"/>
    </row>
    <row r="8" spans="1:15" ht="26.45" customHeight="1">
      <c r="A8" s="991" t="s">
        <v>24</v>
      </c>
      <c r="B8" s="991" t="s">
        <v>17</v>
      </c>
      <c r="C8" s="1004" t="s">
        <v>1</v>
      </c>
      <c r="D8" s="1004" t="s">
        <v>310</v>
      </c>
      <c r="E8" s="999" t="s">
        <v>131</v>
      </c>
      <c r="F8" s="1000" t="s">
        <v>201</v>
      </c>
      <c r="G8" s="1000" t="s">
        <v>202</v>
      </c>
      <c r="H8" s="1000" t="s">
        <v>203</v>
      </c>
      <c r="I8" s="1000" t="s">
        <v>113</v>
      </c>
      <c r="J8" s="246"/>
      <c r="K8" s="991" t="s">
        <v>114</v>
      </c>
      <c r="L8" s="990" t="s">
        <v>111</v>
      </c>
      <c r="M8" s="991" t="s">
        <v>200</v>
      </c>
      <c r="O8" s="988" t="s">
        <v>312</v>
      </c>
    </row>
    <row r="9" spans="1:15" ht="16.9" customHeight="1">
      <c r="A9" s="991"/>
      <c r="B9" s="991"/>
      <c r="C9" s="1005"/>
      <c r="D9" s="1005"/>
      <c r="E9" s="999"/>
      <c r="F9" s="1000"/>
      <c r="G9" s="1000"/>
      <c r="H9" s="1000"/>
      <c r="I9" s="1000"/>
      <c r="J9" s="247"/>
      <c r="K9" s="991"/>
      <c r="L9" s="990"/>
      <c r="M9" s="991"/>
      <c r="O9" s="989"/>
    </row>
    <row r="10" spans="1:15" ht="18.75" customHeight="1">
      <c r="A10" s="252" t="s">
        <v>15</v>
      </c>
      <c r="B10" s="250"/>
      <c r="C10" s="900"/>
      <c r="D10" s="250"/>
      <c r="E10" s="901"/>
      <c r="F10" s="333">
        <f>+'Parámetros de eficiencia'!C5</f>
        <v>0.0214</v>
      </c>
      <c r="G10" s="333">
        <f>+'Parámetros de eficiencia'!C6</f>
        <v>0.006</v>
      </c>
      <c r="H10" s="505">
        <v>0.03</v>
      </c>
      <c r="I10" s="333">
        <f>+'Parámetros de eficiencia'!C7</f>
        <v>0.0785</v>
      </c>
      <c r="J10" s="334"/>
      <c r="K10" s="251"/>
      <c r="L10" s="478">
        <f>+'VERIFICACIÓN DE INGRESOS'!B6</f>
        <v>0.6196857165490125</v>
      </c>
      <c r="M10" s="251"/>
      <c r="O10" s="903"/>
    </row>
    <row r="11" spans="1:15" ht="12.75">
      <c r="A11" s="258" t="s">
        <v>3</v>
      </c>
      <c r="B11" s="211"/>
      <c r="C11" s="248"/>
      <c r="D11" s="211"/>
      <c r="E11" s="248"/>
      <c r="F11" s="249"/>
      <c r="G11" s="183"/>
      <c r="H11" s="249"/>
      <c r="I11" s="259"/>
      <c r="J11" s="183"/>
      <c r="K11" s="268"/>
      <c r="L11" s="249"/>
      <c r="M11" s="259"/>
      <c r="O11" s="904"/>
    </row>
    <row r="12" spans="1:15" ht="12.75">
      <c r="A12" s="260" t="s">
        <v>148</v>
      </c>
      <c r="B12" s="95" t="str">
        <f>+'[6]VNR2004'!B8</f>
        <v>Miles B/./Salida</v>
      </c>
      <c r="C12" s="185">
        <f>+'CX cxj Año2'!C12+' VNR'!I33/2+' VNR'!L33/2</f>
        <v>2539.207</v>
      </c>
      <c r="D12" s="95">
        <f>+' VNR'!D5</f>
        <v>4</v>
      </c>
      <c r="E12" s="185">
        <f>+C12/D12</f>
        <v>634.80175</v>
      </c>
      <c r="F12" s="95">
        <f>$E12*$F$10</f>
        <v>13.584757449999998</v>
      </c>
      <c r="G12" s="186">
        <f>+$E12*$G$10</f>
        <v>3.8088105</v>
      </c>
      <c r="H12" s="95">
        <f>$E12*$H$10</f>
        <v>19.0440525</v>
      </c>
      <c r="I12" s="261">
        <f>$E12*$I$10</f>
        <v>49.831937374999995</v>
      </c>
      <c r="J12" s="184"/>
      <c r="K12" s="279">
        <f>+F12+G12+H12+I12</f>
        <v>86.26955782499999</v>
      </c>
      <c r="L12" s="280"/>
      <c r="M12" s="881">
        <f>ROUND(+K12*$L$10,2)</f>
        <v>53.46</v>
      </c>
      <c r="N12" s="304"/>
      <c r="O12" s="905">
        <f>+M12*D12</f>
        <v>213.84</v>
      </c>
    </row>
    <row r="13" spans="1:15" ht="12.75">
      <c r="A13" s="260" t="s">
        <v>149</v>
      </c>
      <c r="B13" s="95" t="str">
        <f>+'[6]VNR2004'!B9</f>
        <v>Miles B/./Salida</v>
      </c>
      <c r="C13" s="185">
        <f>+'CX cxj Año2'!C13+' VNR'!I34/2+' VNR'!L34/2</f>
        <v>7767.087</v>
      </c>
      <c r="D13" s="95">
        <f>+' VNR'!D6</f>
        <v>14</v>
      </c>
      <c r="E13" s="185">
        <f aca="true" t="shared" si="0" ref="E13:E15">+C13/D13</f>
        <v>554.7919285714286</v>
      </c>
      <c r="F13" s="95">
        <f aca="true" t="shared" si="1" ref="F13:F26">$E13*$F$10</f>
        <v>11.872547271428571</v>
      </c>
      <c r="G13" s="186">
        <f aca="true" t="shared" si="2" ref="G13:G26">+$E13*$G$10</f>
        <v>3.3287515714285716</v>
      </c>
      <c r="H13" s="95">
        <f aca="true" t="shared" si="3" ref="H13:H26">$E13*$H$10</f>
        <v>16.643757857142855</v>
      </c>
      <c r="I13" s="261">
        <f aca="true" t="shared" si="4" ref="I13:I26">$E13*$I$10</f>
        <v>43.55116639285714</v>
      </c>
      <c r="J13" s="184"/>
      <c r="K13" s="279">
        <f aca="true" t="shared" si="5" ref="K13:K19">+F13+G13+H13+I13</f>
        <v>75.39622309285714</v>
      </c>
      <c r="L13" s="280"/>
      <c r="M13" s="881">
        <f aca="true" t="shared" si="6" ref="M13:M23">ROUND(+K13*$L$10,2)</f>
        <v>46.72</v>
      </c>
      <c r="O13" s="905">
        <f aca="true" t="shared" si="7" ref="O13:O15">+M13*D13</f>
        <v>654.0799999999999</v>
      </c>
    </row>
    <row r="14" spans="1:15" ht="12.75">
      <c r="A14" s="260" t="s">
        <v>150</v>
      </c>
      <c r="B14" s="95" t="str">
        <f>+'[6]VNR2004'!B10</f>
        <v>Miles B/./Salida</v>
      </c>
      <c r="C14" s="185">
        <f>+'CX cxj Año2'!C14+' VNR'!I35/2+' VNR'!L35/2</f>
        <v>1677.1</v>
      </c>
      <c r="D14" s="95">
        <f>+' VNR'!D7</f>
        <v>3</v>
      </c>
      <c r="E14" s="185">
        <f t="shared" si="0"/>
        <v>559.0333333333333</v>
      </c>
      <c r="F14" s="95">
        <f t="shared" si="1"/>
        <v>11.963313333333332</v>
      </c>
      <c r="G14" s="186">
        <f t="shared" si="2"/>
        <v>3.3542</v>
      </c>
      <c r="H14" s="95">
        <f t="shared" si="3"/>
        <v>16.770999999999997</v>
      </c>
      <c r="I14" s="261">
        <f t="shared" si="4"/>
        <v>43.884116666666664</v>
      </c>
      <c r="J14" s="184"/>
      <c r="K14" s="279">
        <f t="shared" si="5"/>
        <v>75.97263</v>
      </c>
      <c r="L14" s="280"/>
      <c r="M14" s="881">
        <f t="shared" si="6"/>
        <v>47.08</v>
      </c>
      <c r="O14" s="905">
        <f t="shared" si="7"/>
        <v>141.24</v>
      </c>
    </row>
    <row r="15" spans="1:15" ht="12.75">
      <c r="A15" s="260" t="s">
        <v>151</v>
      </c>
      <c r="B15" s="95" t="str">
        <f>+'[6]VNR2004'!B11</f>
        <v>Miles B/./Salida</v>
      </c>
      <c r="C15" s="185">
        <f>+'CX cxj Año2'!C15+' VNR'!I36/2+' VNR'!L36/2</f>
        <v>4931.205</v>
      </c>
      <c r="D15" s="95">
        <f>+' VNR'!D8</f>
        <v>4</v>
      </c>
      <c r="E15" s="185">
        <f t="shared" si="0"/>
        <v>1232.80125</v>
      </c>
      <c r="F15" s="95">
        <f t="shared" si="1"/>
        <v>26.381946749999997</v>
      </c>
      <c r="G15" s="186">
        <f t="shared" si="2"/>
        <v>7.3968075</v>
      </c>
      <c r="H15" s="95">
        <f t="shared" si="3"/>
        <v>36.9840375</v>
      </c>
      <c r="I15" s="261">
        <f t="shared" si="4"/>
        <v>96.77489812499999</v>
      </c>
      <c r="J15" s="184"/>
      <c r="K15" s="279">
        <f t="shared" si="5"/>
        <v>167.53768987499998</v>
      </c>
      <c r="L15" s="280"/>
      <c r="M15" s="881">
        <f t="shared" si="6"/>
        <v>103.82</v>
      </c>
      <c r="O15" s="905">
        <f t="shared" si="7"/>
        <v>415.28</v>
      </c>
    </row>
    <row r="16" spans="1:15" ht="12.75">
      <c r="A16" s="260" t="s">
        <v>160</v>
      </c>
      <c r="B16" s="182" t="s">
        <v>73</v>
      </c>
      <c r="C16" s="185">
        <f>+'CX cxj Año2'!C16+' VNR'!I37/2+' VNR'!L37/2</f>
        <v>0</v>
      </c>
      <c r="D16" s="95">
        <f>+' VNR'!D9</f>
        <v>0</v>
      </c>
      <c r="E16" s="185">
        <f>+' VNR'!E9</f>
        <v>0</v>
      </c>
      <c r="F16" s="95">
        <f t="shared" si="1"/>
        <v>0</v>
      </c>
      <c r="G16" s="186">
        <f t="shared" si="2"/>
        <v>0</v>
      </c>
      <c r="H16" s="95">
        <f t="shared" si="3"/>
        <v>0</v>
      </c>
      <c r="I16" s="261">
        <f t="shared" si="4"/>
        <v>0</v>
      </c>
      <c r="J16" s="184"/>
      <c r="K16" s="882" t="s">
        <v>198</v>
      </c>
      <c r="L16" s="280"/>
      <c r="M16" s="882" t="s">
        <v>198</v>
      </c>
      <c r="O16" s="905">
        <f>+' VNR'!O9</f>
        <v>0</v>
      </c>
    </row>
    <row r="17" spans="1:15" ht="12.75">
      <c r="A17" s="260" t="s">
        <v>161</v>
      </c>
      <c r="B17" s="95" t="str">
        <f>+'[6]VNR2004'!B13</f>
        <v>Miles B/./Salida</v>
      </c>
      <c r="C17" s="185">
        <f>+'CX cxj Año2'!C17+' VNR'!I38/2+' VNR'!L38/2</f>
        <v>0</v>
      </c>
      <c r="D17" s="95"/>
      <c r="E17" s="185"/>
      <c r="F17" s="95">
        <f t="shared" si="1"/>
        <v>0</v>
      </c>
      <c r="G17" s="186">
        <f t="shared" si="2"/>
        <v>0</v>
      </c>
      <c r="H17" s="95">
        <f t="shared" si="3"/>
        <v>0</v>
      </c>
      <c r="I17" s="261">
        <f t="shared" si="4"/>
        <v>0</v>
      </c>
      <c r="J17" s="184"/>
      <c r="K17" s="481" t="s">
        <v>198</v>
      </c>
      <c r="L17" s="280"/>
      <c r="M17" s="882" t="s">
        <v>198</v>
      </c>
      <c r="O17" s="905"/>
    </row>
    <row r="18" spans="1:15" ht="12.75">
      <c r="A18" s="294" t="s">
        <v>152</v>
      </c>
      <c r="B18" s="182" t="s">
        <v>73</v>
      </c>
      <c r="C18" s="185">
        <f>+'CX cxj Año2'!C18+' VNR'!I39/2+' VNR'!L39/2</f>
        <v>3473.011</v>
      </c>
      <c r="D18" s="95">
        <f>+' VNR'!D11</f>
        <v>2</v>
      </c>
      <c r="E18" s="185">
        <f aca="true" t="shared" si="8" ref="E18:E19">+C18/D18</f>
        <v>1736.5055</v>
      </c>
      <c r="F18" s="95">
        <f t="shared" si="1"/>
        <v>37.161217699999995</v>
      </c>
      <c r="G18" s="186">
        <f t="shared" si="2"/>
        <v>10.419033</v>
      </c>
      <c r="H18" s="95">
        <f t="shared" si="3"/>
        <v>52.095164999999994</v>
      </c>
      <c r="I18" s="261">
        <f t="shared" si="4"/>
        <v>136.31568175</v>
      </c>
      <c r="J18" s="184"/>
      <c r="K18" s="480">
        <f t="shared" si="5"/>
        <v>235.99109744999998</v>
      </c>
      <c r="L18" s="280"/>
      <c r="M18" s="881">
        <f>ROUND(+K18*$L$10,2)</f>
        <v>146.24</v>
      </c>
      <c r="O18" s="905">
        <f aca="true" t="shared" si="9" ref="O18:O19">+M18*D18</f>
        <v>292.48</v>
      </c>
    </row>
    <row r="19" spans="1:15" ht="12.75">
      <c r="A19" s="486" t="s">
        <v>271</v>
      </c>
      <c r="B19" s="182" t="s">
        <v>73</v>
      </c>
      <c r="C19" s="185">
        <f>+'CX cxj Año2'!C19+' VNR'!I40/2+' VNR'!L40/2</f>
        <v>9580</v>
      </c>
      <c r="D19" s="95">
        <f>+' VNR'!G40</f>
        <v>3</v>
      </c>
      <c r="E19" s="185">
        <f t="shared" si="8"/>
        <v>3193.3333333333335</v>
      </c>
      <c r="F19" s="95">
        <f t="shared" si="1"/>
        <v>68.33733333333333</v>
      </c>
      <c r="G19" s="186">
        <f t="shared" si="2"/>
        <v>19.16</v>
      </c>
      <c r="H19" s="95">
        <f t="shared" si="3"/>
        <v>95.8</v>
      </c>
      <c r="I19" s="261">
        <f t="shared" si="4"/>
        <v>250.67666666666668</v>
      </c>
      <c r="J19" s="184"/>
      <c r="K19" s="480">
        <f t="shared" si="5"/>
        <v>433.974</v>
      </c>
      <c r="L19" s="280"/>
      <c r="M19" s="881">
        <f>ROUND(+K19*$L$10,2)</f>
        <v>268.93</v>
      </c>
      <c r="O19" s="905">
        <f t="shared" si="9"/>
        <v>806.79</v>
      </c>
    </row>
    <row r="20" spans="1:15" ht="12.75">
      <c r="A20" s="908" t="s">
        <v>4</v>
      </c>
      <c r="B20" s="95"/>
      <c r="C20" s="185">
        <f>+'CX cxj Año2'!C20+' VNR'!I42/2+' VNR'!L42/2</f>
        <v>0</v>
      </c>
      <c r="D20" s="95"/>
      <c r="E20" s="185"/>
      <c r="F20" s="95"/>
      <c r="G20" s="186"/>
      <c r="H20" s="95"/>
      <c r="I20" s="261"/>
      <c r="J20" s="184"/>
      <c r="K20" s="480"/>
      <c r="L20" s="280"/>
      <c r="M20" s="881"/>
      <c r="O20" s="905"/>
    </row>
    <row r="21" spans="1:15" ht="12.75">
      <c r="A21" s="305" t="str">
        <f>+' VNR'!B15</f>
        <v>CXTR Reductor 60/80/100 MVA</v>
      </c>
      <c r="B21" s="95" t="s">
        <v>159</v>
      </c>
      <c r="C21" s="185">
        <f>+'CX cxj Año2'!C21+' VNR'!I43/2+' VNR'!L43/2</f>
        <v>8326</v>
      </c>
      <c r="D21" s="95">
        <f>+' VNR'!D43</f>
        <v>200</v>
      </c>
      <c r="E21" s="185">
        <f aca="true" t="shared" si="10" ref="E21:E24">+C21/D21</f>
        <v>41.63</v>
      </c>
      <c r="F21" s="95">
        <f t="shared" si="1"/>
        <v>0.8908820000000001</v>
      </c>
      <c r="G21" s="186">
        <f t="shared" si="2"/>
        <v>0.24978000000000003</v>
      </c>
      <c r="H21" s="95">
        <f t="shared" si="3"/>
        <v>1.2489000000000001</v>
      </c>
      <c r="I21" s="261">
        <f t="shared" si="4"/>
        <v>3.267955</v>
      </c>
      <c r="J21" s="184"/>
      <c r="K21" s="482">
        <f>+G21+F21+H21+I21</f>
        <v>5.657517</v>
      </c>
      <c r="L21" s="280"/>
      <c r="M21" s="881">
        <f t="shared" si="6"/>
        <v>3.51</v>
      </c>
      <c r="O21" s="905">
        <f aca="true" t="shared" si="11" ref="O21:O26">+M21*D21</f>
        <v>702</v>
      </c>
    </row>
    <row r="22" spans="1:15" ht="12.75">
      <c r="A22" s="306" t="s">
        <v>5</v>
      </c>
      <c r="B22" s="95" t="s">
        <v>159</v>
      </c>
      <c r="C22" s="185">
        <f>+'CX cxj Año2'!C22+' VNR'!I44/2+' VNR'!L44/2</f>
        <v>7460.677</v>
      </c>
      <c r="D22" s="95">
        <f>+' VNR'!D16</f>
        <v>140</v>
      </c>
      <c r="E22" s="185">
        <f t="shared" si="10"/>
        <v>53.290549999999996</v>
      </c>
      <c r="F22" s="95">
        <f t="shared" si="1"/>
        <v>1.1404177699999998</v>
      </c>
      <c r="G22" s="186">
        <f t="shared" si="2"/>
        <v>0.3197433</v>
      </c>
      <c r="H22" s="95">
        <f t="shared" si="3"/>
        <v>1.5987164999999999</v>
      </c>
      <c r="I22" s="261">
        <f t="shared" si="4"/>
        <v>4.183308175</v>
      </c>
      <c r="J22" s="184"/>
      <c r="K22" s="482">
        <f>+G22+F22+H22+I22</f>
        <v>7.242185745</v>
      </c>
      <c r="L22" s="280"/>
      <c r="M22" s="881">
        <f t="shared" si="6"/>
        <v>4.49</v>
      </c>
      <c r="O22" s="905">
        <f t="shared" si="11"/>
        <v>628.6</v>
      </c>
    </row>
    <row r="23" spans="1:15" ht="12.75">
      <c r="A23" s="306" t="s">
        <v>6</v>
      </c>
      <c r="B23" s="95" t="s">
        <v>159</v>
      </c>
      <c r="C23" s="185">
        <f>+'CX cxj Año2'!C23+' VNR'!I45/2+' VNR'!L45/2</f>
        <v>5001.443</v>
      </c>
      <c r="D23" s="95">
        <f>+' VNR'!D17</f>
        <v>100</v>
      </c>
      <c r="E23" s="185">
        <f t="shared" si="10"/>
        <v>50.014430000000004</v>
      </c>
      <c r="F23" s="95">
        <f t="shared" si="1"/>
        <v>1.070308802</v>
      </c>
      <c r="G23" s="186">
        <f t="shared" si="2"/>
        <v>0.30008658000000005</v>
      </c>
      <c r="H23" s="95">
        <f t="shared" si="3"/>
        <v>1.5004329</v>
      </c>
      <c r="I23" s="261">
        <f t="shared" si="4"/>
        <v>3.9261327550000003</v>
      </c>
      <c r="J23" s="184"/>
      <c r="K23" s="283">
        <f>+G23+F23+H23+I23</f>
        <v>6.796961037000001</v>
      </c>
      <c r="L23" s="280"/>
      <c r="M23" s="881">
        <f t="shared" si="6"/>
        <v>4.21</v>
      </c>
      <c r="O23" s="905">
        <f t="shared" si="11"/>
        <v>421</v>
      </c>
    </row>
    <row r="24" spans="1:15" ht="12.75">
      <c r="A24" s="911" t="s">
        <v>7</v>
      </c>
      <c r="B24" s="95" t="s">
        <v>159</v>
      </c>
      <c r="C24" s="185">
        <f>+'CX cxj Año2'!C24+' VNR'!I46/2+' VNR'!L46/2</f>
        <v>1768.618</v>
      </c>
      <c r="D24" s="95">
        <f>+' VNR'!D18</f>
        <v>24</v>
      </c>
      <c r="E24" s="185">
        <f t="shared" si="10"/>
        <v>73.69241666666666</v>
      </c>
      <c r="F24" s="95">
        <f t="shared" si="1"/>
        <v>1.5770177166666663</v>
      </c>
      <c r="G24" s="186">
        <f t="shared" si="2"/>
        <v>0.44215449999999995</v>
      </c>
      <c r="H24" s="95">
        <f t="shared" si="3"/>
        <v>2.2107724999999996</v>
      </c>
      <c r="I24" s="261">
        <f t="shared" si="4"/>
        <v>5.784854708333333</v>
      </c>
      <c r="J24" s="184"/>
      <c r="K24" s="283">
        <f>+G24+F24+H24+I24</f>
        <v>10.014799424999998</v>
      </c>
      <c r="L24" s="280"/>
      <c r="M24" s="881">
        <f>ROUND(+K24*$L$10,2)</f>
        <v>6.21</v>
      </c>
      <c r="N24" s="135"/>
      <c r="O24" s="905">
        <f t="shared" si="11"/>
        <v>149.04</v>
      </c>
    </row>
    <row r="25" spans="1:15" ht="12.75">
      <c r="A25" s="295" t="s">
        <v>8</v>
      </c>
      <c r="B25" s="484" t="s">
        <v>11</v>
      </c>
      <c r="C25" s="185">
        <f>+'CX cxj Año2'!C25+' VNR'!I48/2+' VNR'!L48/2</f>
        <v>0</v>
      </c>
      <c r="D25" s="484"/>
      <c r="E25" s="185"/>
      <c r="F25" s="95"/>
      <c r="G25" s="186"/>
      <c r="H25" s="95"/>
      <c r="I25" s="261"/>
      <c r="J25" s="184"/>
      <c r="K25" s="283"/>
      <c r="L25" s="280"/>
      <c r="M25" s="281"/>
      <c r="N25" s="135"/>
      <c r="O25" s="905"/>
    </row>
    <row r="26" spans="1:15" ht="12.75">
      <c r="A26" s="262" t="s">
        <v>205</v>
      </c>
      <c r="B26" s="95" t="str">
        <f>+'[6]VNR2004'!B21</f>
        <v>Miles B/./km</v>
      </c>
      <c r="C26" s="185">
        <f>+'CX cxj Año2'!C26+' VNR'!I49/2+' VNR'!L49/2</f>
        <v>4882.028</v>
      </c>
      <c r="D26" s="95">
        <f>+' VNR'!E75</f>
        <v>38.3</v>
      </c>
      <c r="E26" s="185">
        <f>+' VNR'!E21</f>
        <v>127.46809399477809</v>
      </c>
      <c r="F26" s="95">
        <f t="shared" si="1"/>
        <v>2.727817211488251</v>
      </c>
      <c r="G26" s="186">
        <f t="shared" si="2"/>
        <v>0.7648085639686686</v>
      </c>
      <c r="H26" s="95">
        <f t="shared" si="3"/>
        <v>3.8240428198433425</v>
      </c>
      <c r="I26" s="261">
        <f t="shared" si="4"/>
        <v>10.00624537859008</v>
      </c>
      <c r="J26" s="184"/>
      <c r="K26" s="279">
        <f aca="true" t="shared" si="12" ref="K26:K31">+F26+G26+H26+I26</f>
        <v>17.322913973890344</v>
      </c>
      <c r="L26" s="280"/>
      <c r="M26" s="281">
        <f>ROUND(+K26*$L$10,2)</f>
        <v>10.73</v>
      </c>
      <c r="N26" s="135"/>
      <c r="O26" s="905">
        <f t="shared" si="11"/>
        <v>410.959</v>
      </c>
    </row>
    <row r="27" spans="1:15" ht="12.75">
      <c r="A27" s="262" t="s">
        <v>209</v>
      </c>
      <c r="B27" s="95" t="str">
        <f>+'[6]VNR2004'!B22</f>
        <v>Miles B/./km</v>
      </c>
      <c r="C27" s="185"/>
      <c r="D27" s="95"/>
      <c r="E27" s="185"/>
      <c r="F27" s="95"/>
      <c r="G27" s="186"/>
      <c r="H27" s="95"/>
      <c r="I27" s="261"/>
      <c r="J27" s="184"/>
      <c r="K27" s="279">
        <f t="shared" si="12"/>
        <v>0</v>
      </c>
      <c r="L27" s="280"/>
      <c r="M27" s="282" t="s">
        <v>198</v>
      </c>
      <c r="N27" s="135"/>
      <c r="O27" s="905">
        <f>+' VNR'!O22</f>
        <v>0</v>
      </c>
    </row>
    <row r="28" spans="1:15" ht="12.75">
      <c r="A28" s="262" t="s">
        <v>155</v>
      </c>
      <c r="B28" s="95" t="str">
        <f>+'[6]VNR2004'!B23</f>
        <v>Miles B/./km</v>
      </c>
      <c r="C28" s="185"/>
      <c r="D28" s="95"/>
      <c r="E28" s="185"/>
      <c r="F28" s="95"/>
      <c r="G28" s="186"/>
      <c r="H28" s="95"/>
      <c r="I28" s="261"/>
      <c r="J28" s="184"/>
      <c r="K28" s="279">
        <f t="shared" si="12"/>
        <v>0</v>
      </c>
      <c r="L28" s="280"/>
      <c r="M28" s="282" t="s">
        <v>198</v>
      </c>
      <c r="O28" s="905">
        <f>+' VNR'!O23</f>
        <v>0</v>
      </c>
    </row>
    <row r="29" spans="1:15" ht="12.75">
      <c r="A29" s="262" t="s">
        <v>204</v>
      </c>
      <c r="B29" s="95" t="str">
        <f>+'[6]VNR2004'!B24</f>
        <v>Miles B/./km</v>
      </c>
      <c r="C29" s="332"/>
      <c r="D29" s="256"/>
      <c r="E29" s="332"/>
      <c r="F29" s="95"/>
      <c r="G29" s="186"/>
      <c r="H29" s="95"/>
      <c r="I29" s="261"/>
      <c r="J29" s="184"/>
      <c r="K29" s="279">
        <f t="shared" si="12"/>
        <v>0</v>
      </c>
      <c r="L29" s="284"/>
      <c r="M29" s="282" t="s">
        <v>198</v>
      </c>
      <c r="O29" s="906">
        <f>+' VNR'!K24</f>
        <v>0</v>
      </c>
    </row>
    <row r="30" spans="1:15" ht="12.75">
      <c r="A30" s="262" t="s">
        <v>208</v>
      </c>
      <c r="B30" s="182" t="s">
        <v>206</v>
      </c>
      <c r="C30" s="332"/>
      <c r="D30" s="902"/>
      <c r="E30" s="332"/>
      <c r="F30" s="256"/>
      <c r="G30" s="257"/>
      <c r="H30" s="256"/>
      <c r="I30" s="263"/>
      <c r="J30" s="184"/>
      <c r="K30" s="285">
        <f t="shared" si="12"/>
        <v>0</v>
      </c>
      <c r="L30" s="284"/>
      <c r="M30" s="282" t="s">
        <v>198</v>
      </c>
      <c r="O30" s="906">
        <f>+' VNR'!K25</f>
        <v>0</v>
      </c>
    </row>
    <row r="31" spans="1:15" ht="13.5" thickBot="1">
      <c r="A31" s="264" t="s">
        <v>207</v>
      </c>
      <c r="B31" s="265" t="str">
        <f>+'[6]VNR2004'!B24</f>
        <v>Miles B/./km</v>
      </c>
      <c r="C31" s="267"/>
      <c r="D31" s="265"/>
      <c r="E31" s="267"/>
      <c r="F31" s="265"/>
      <c r="G31" s="266"/>
      <c r="H31" s="265"/>
      <c r="I31" s="267"/>
      <c r="J31" s="184"/>
      <c r="K31" s="286">
        <f t="shared" si="12"/>
        <v>0</v>
      </c>
      <c r="L31" s="287"/>
      <c r="M31" s="288" t="s">
        <v>198</v>
      </c>
      <c r="O31" s="907">
        <f>+' VNR'!O26</f>
        <v>0</v>
      </c>
    </row>
    <row r="32" spans="1:15" ht="12.75">
      <c r="A32" s="213"/>
      <c r="C32" s="142"/>
      <c r="O32" s="142"/>
    </row>
    <row r="33" spans="1:15" ht="13.5" thickBot="1">
      <c r="A33" s="964" t="s">
        <v>319</v>
      </c>
      <c r="B33" s="944"/>
      <c r="C33" s="944">
        <f>+'CX cxj Año2'!C33+' VNR'!I41/2+' VNR'!L41/2+' VNR'!I47/2+' VNR'!L47/2</f>
        <v>10115.5</v>
      </c>
      <c r="D33" s="944"/>
      <c r="E33" s="945">
        <f>+C33</f>
        <v>10115.5</v>
      </c>
      <c r="F33" s="944">
        <f aca="true" t="shared" si="13" ref="F33">$E33*$F$10</f>
        <v>216.4717</v>
      </c>
      <c r="G33" s="953">
        <f aca="true" t="shared" si="14" ref="G33">+$E33*$G$10</f>
        <v>60.693</v>
      </c>
      <c r="H33" s="944">
        <f aca="true" t="shared" si="15" ref="H33">$E33*$H$10</f>
        <v>303.465</v>
      </c>
      <c r="I33" s="945">
        <f aca="true" t="shared" si="16" ref="I33">$E33*$I$10</f>
        <v>794.06675</v>
      </c>
      <c r="J33" s="184"/>
      <c r="K33" s="954">
        <f aca="true" t="shared" si="17" ref="K33">+F33+G33+H33+I33</f>
        <v>1374.69645</v>
      </c>
      <c r="L33" s="950"/>
      <c r="M33" s="955">
        <f>ROUND(+K33*$L$10,2)</f>
        <v>851.88</v>
      </c>
      <c r="O33" s="952">
        <f>+M33</f>
        <v>851.88</v>
      </c>
    </row>
    <row r="34" spans="1:15" ht="12.75">
      <c r="A34" s="213"/>
      <c r="B34" s="941"/>
      <c r="C34" s="941"/>
      <c r="D34" s="941"/>
      <c r="E34" s="941"/>
      <c r="F34" s="941"/>
      <c r="G34" s="942"/>
      <c r="H34" s="941"/>
      <c r="I34" s="941"/>
      <c r="J34" s="31"/>
      <c r="K34" s="942"/>
      <c r="L34" s="96"/>
      <c r="M34" s="943"/>
      <c r="O34" s="941"/>
    </row>
    <row r="35" spans="1:15" ht="12.75">
      <c r="A35" s="213"/>
      <c r="C35" s="142"/>
      <c r="N35" s="133" t="s">
        <v>12</v>
      </c>
      <c r="O35" s="142">
        <f>SUM(O12:O31)+O33</f>
        <v>5687.188999999999</v>
      </c>
    </row>
  </sheetData>
  <sheetProtection password="CC53" sheet="1" objects="1" scenarios="1"/>
  <mergeCells count="18">
    <mergeCell ref="L8:L9"/>
    <mergeCell ref="M8:M9"/>
    <mergeCell ref="O8:O9"/>
    <mergeCell ref="F8:F9"/>
    <mergeCell ref="G8:G9"/>
    <mergeCell ref="I8:I9"/>
    <mergeCell ref="K8:K9"/>
    <mergeCell ref="H8:H9"/>
    <mergeCell ref="A1:K1"/>
    <mergeCell ref="A2:K2"/>
    <mergeCell ref="A3:D6"/>
    <mergeCell ref="E3:K3"/>
    <mergeCell ref="E5:K5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zoomScale="70" zoomScaleNormal="70" workbookViewId="0" topLeftCell="A1">
      <selection activeCell="A1" sqref="A1:M34"/>
    </sheetView>
  </sheetViews>
  <sheetFormatPr defaultColWidth="11.421875" defaultRowHeight="12.75"/>
  <cols>
    <col min="1" max="1" width="38.421875" style="133" customWidth="1"/>
    <col min="2" max="2" width="17.8515625" style="133" customWidth="1"/>
    <col min="3" max="3" width="14.421875" style="133" customWidth="1"/>
    <col min="4" max="4" width="13.421875" style="133" customWidth="1"/>
    <col min="5" max="5" width="11.8515625" style="133" customWidth="1"/>
    <col min="6" max="6" width="11.421875" style="133" customWidth="1"/>
    <col min="7" max="7" width="12.8515625" style="133" customWidth="1"/>
    <col min="8" max="8" width="11.28125" style="133" customWidth="1"/>
    <col min="9" max="9" width="17.57421875" style="133" customWidth="1"/>
    <col min="10" max="10" width="11.8515625" style="133" customWidth="1"/>
    <col min="11" max="11" width="23.28125" style="133" customWidth="1"/>
    <col min="12" max="16384" width="11.421875" style="133" customWidth="1"/>
  </cols>
  <sheetData>
    <row r="1" spans="1:11" ht="18">
      <c r="A1" s="969" t="s">
        <v>13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</row>
    <row r="2" spans="1:11" ht="39.6" customHeight="1" thickBot="1">
      <c r="A2" s="992" t="s">
        <v>23</v>
      </c>
      <c r="B2" s="992"/>
      <c r="C2" s="992"/>
      <c r="D2" s="992"/>
      <c r="E2" s="992"/>
      <c r="F2" s="992"/>
      <c r="G2" s="992"/>
      <c r="H2" s="992"/>
      <c r="I2" s="992"/>
      <c r="J2" s="992"/>
      <c r="K2" s="992"/>
    </row>
    <row r="3" spans="1:11" ht="27.6" customHeight="1">
      <c r="A3" s="993" t="s">
        <v>25</v>
      </c>
      <c r="B3" s="994"/>
      <c r="C3" s="994"/>
      <c r="D3" s="994"/>
      <c r="E3" s="1001" t="s">
        <v>115</v>
      </c>
      <c r="F3" s="1002"/>
      <c r="G3" s="1002"/>
      <c r="H3" s="1002"/>
      <c r="I3" s="1002"/>
      <c r="J3" s="1002"/>
      <c r="K3" s="1003"/>
    </row>
    <row r="4" spans="1:11" ht="27.6" customHeight="1" thickBot="1">
      <c r="A4" s="995"/>
      <c r="B4" s="996"/>
      <c r="C4" s="996"/>
      <c r="D4" s="996"/>
      <c r="E4" s="52"/>
      <c r="F4" s="31"/>
      <c r="G4" s="31"/>
      <c r="H4" s="31"/>
      <c r="I4" s="31"/>
      <c r="J4" s="31"/>
      <c r="K4" s="131"/>
    </row>
    <row r="5" spans="1:11" ht="27.6" customHeight="1">
      <c r="A5" s="995"/>
      <c r="B5" s="996"/>
      <c r="C5" s="996"/>
      <c r="D5" s="996"/>
      <c r="E5" s="1001" t="s">
        <v>116</v>
      </c>
      <c r="F5" s="1002"/>
      <c r="G5" s="1002"/>
      <c r="H5" s="1002"/>
      <c r="I5" s="1002"/>
      <c r="J5" s="1002"/>
      <c r="K5" s="1003"/>
    </row>
    <row r="6" spans="1:11" ht="27.6" customHeight="1" thickBot="1">
      <c r="A6" s="997"/>
      <c r="B6" s="998"/>
      <c r="C6" s="998"/>
      <c r="D6" s="998"/>
      <c r="E6" s="134"/>
      <c r="F6" s="106"/>
      <c r="G6" s="106"/>
      <c r="H6" s="106"/>
      <c r="I6" s="106"/>
      <c r="J6" s="106"/>
      <c r="K6" s="107"/>
    </row>
    <row r="7" spans="1:11" ht="18" customHeight="1" thickBot="1">
      <c r="A7" s="178"/>
      <c r="B7" s="178"/>
      <c r="C7" s="178"/>
      <c r="D7" s="178"/>
      <c r="E7" s="31"/>
      <c r="F7" s="31"/>
      <c r="G7" s="31"/>
      <c r="H7" s="106"/>
      <c r="I7" s="31"/>
      <c r="J7" s="31"/>
      <c r="K7" s="31"/>
    </row>
    <row r="8" spans="1:15" ht="26.45" customHeight="1">
      <c r="A8" s="991" t="s">
        <v>24</v>
      </c>
      <c r="B8" s="991" t="s">
        <v>17</v>
      </c>
      <c r="C8" s="1004" t="s">
        <v>1</v>
      </c>
      <c r="D8" s="1004" t="s">
        <v>310</v>
      </c>
      <c r="E8" s="999" t="s">
        <v>131</v>
      </c>
      <c r="F8" s="1000" t="s">
        <v>201</v>
      </c>
      <c r="G8" s="1000" t="s">
        <v>202</v>
      </c>
      <c r="H8" s="1000" t="s">
        <v>203</v>
      </c>
      <c r="I8" s="1000" t="s">
        <v>113</v>
      </c>
      <c r="J8" s="246"/>
      <c r="K8" s="991" t="s">
        <v>114</v>
      </c>
      <c r="L8" s="990" t="s">
        <v>111</v>
      </c>
      <c r="M8" s="991" t="s">
        <v>200</v>
      </c>
      <c r="O8" s="988" t="s">
        <v>312</v>
      </c>
    </row>
    <row r="9" spans="1:15" ht="16.9" customHeight="1">
      <c r="A9" s="991"/>
      <c r="B9" s="991"/>
      <c r="C9" s="1005"/>
      <c r="D9" s="1005"/>
      <c r="E9" s="999"/>
      <c r="F9" s="1000"/>
      <c r="G9" s="1000"/>
      <c r="H9" s="1000"/>
      <c r="I9" s="1000"/>
      <c r="J9" s="247"/>
      <c r="K9" s="991"/>
      <c r="L9" s="990"/>
      <c r="M9" s="991"/>
      <c r="O9" s="989"/>
    </row>
    <row r="10" spans="1:15" ht="18.75" customHeight="1">
      <c r="A10" s="252" t="s">
        <v>15</v>
      </c>
      <c r="B10" s="250"/>
      <c r="C10" s="900"/>
      <c r="D10" s="250"/>
      <c r="E10" s="901"/>
      <c r="F10" s="333">
        <f>+'Parámetros de eficiencia'!C5</f>
        <v>0.0214</v>
      </c>
      <c r="G10" s="333">
        <f>+'Parámetros de eficiencia'!C6</f>
        <v>0.006</v>
      </c>
      <c r="H10" s="505">
        <v>0.03</v>
      </c>
      <c r="I10" s="333">
        <f>+'Parámetros de eficiencia'!C7</f>
        <v>0.0785</v>
      </c>
      <c r="J10" s="334"/>
      <c r="K10" s="251"/>
      <c r="L10" s="478">
        <f>+'VERIFICACIÓN DE INGRESOS'!B6</f>
        <v>0.6196857165490125</v>
      </c>
      <c r="M10" s="251"/>
      <c r="O10" s="903"/>
    </row>
    <row r="11" spans="1:15" ht="12.75">
      <c r="A11" s="258" t="s">
        <v>3</v>
      </c>
      <c r="B11" s="211"/>
      <c r="C11" s="248"/>
      <c r="D11" s="211"/>
      <c r="E11" s="248"/>
      <c r="F11" s="249"/>
      <c r="G11" s="183"/>
      <c r="H11" s="249"/>
      <c r="I11" s="259"/>
      <c r="J11" s="183"/>
      <c r="K11" s="268"/>
      <c r="L11" s="249"/>
      <c r="M11" s="259"/>
      <c r="O11" s="904"/>
    </row>
    <row r="12" spans="1:15" ht="12.75">
      <c r="A12" s="260" t="s">
        <v>148</v>
      </c>
      <c r="B12" s="95" t="str">
        <f>+'[6]VNR2004'!B8</f>
        <v>Miles B/./Salida</v>
      </c>
      <c r="C12" s="185">
        <f>+'CX cxj Año3'!C12+' VNR'!L33/2+' VNR'!O33/2</f>
        <v>2539.207</v>
      </c>
      <c r="D12" s="95">
        <f>+' VNR'!D5</f>
        <v>4</v>
      </c>
      <c r="E12" s="185">
        <f>+C12/D12</f>
        <v>634.80175</v>
      </c>
      <c r="F12" s="95">
        <f>$E12*$F$10</f>
        <v>13.584757449999998</v>
      </c>
      <c r="G12" s="186">
        <f>+$E12*$G$10</f>
        <v>3.8088105</v>
      </c>
      <c r="H12" s="95">
        <f>$E12*$H$10</f>
        <v>19.0440525</v>
      </c>
      <c r="I12" s="261">
        <f>$E12*$I$10</f>
        <v>49.831937374999995</v>
      </c>
      <c r="J12" s="184"/>
      <c r="K12" s="279">
        <f>+F12+G12+H12+I12</f>
        <v>86.26955782499999</v>
      </c>
      <c r="L12" s="280"/>
      <c r="M12" s="881">
        <f>ROUND(+K12*$L$10,2)</f>
        <v>53.46</v>
      </c>
      <c r="N12" s="304"/>
      <c r="O12" s="905">
        <f>+M12*D12</f>
        <v>213.84</v>
      </c>
    </row>
    <row r="13" spans="1:15" ht="12.75">
      <c r="A13" s="260" t="s">
        <v>149</v>
      </c>
      <c r="B13" s="95" t="str">
        <f>+'[6]VNR2004'!B9</f>
        <v>Miles B/./Salida</v>
      </c>
      <c r="C13" s="185">
        <f>+'CX cxj Año3'!C13+' VNR'!L34/2+' VNR'!O34/2</f>
        <v>7767.087</v>
      </c>
      <c r="D13" s="95">
        <f>+' VNR'!D6</f>
        <v>14</v>
      </c>
      <c r="E13" s="185">
        <f aca="true" t="shared" si="0" ref="E13:E15">+C13/D13</f>
        <v>554.7919285714286</v>
      </c>
      <c r="F13" s="95">
        <f aca="true" t="shared" si="1" ref="F13:F26">$E13*$F$10</f>
        <v>11.872547271428571</v>
      </c>
      <c r="G13" s="186">
        <f aca="true" t="shared" si="2" ref="G13:G26">+$E13*$G$10</f>
        <v>3.3287515714285716</v>
      </c>
      <c r="H13" s="95">
        <f aca="true" t="shared" si="3" ref="H13:H26">$E13*$H$10</f>
        <v>16.643757857142855</v>
      </c>
      <c r="I13" s="261">
        <f aca="true" t="shared" si="4" ref="I13:I26">$E13*$I$10</f>
        <v>43.55116639285714</v>
      </c>
      <c r="J13" s="184"/>
      <c r="K13" s="279">
        <f aca="true" t="shared" si="5" ref="K13:K19">+F13+G13+H13+I13</f>
        <v>75.39622309285714</v>
      </c>
      <c r="L13" s="280"/>
      <c r="M13" s="881">
        <f aca="true" t="shared" si="6" ref="M13:M23">ROUND(+K13*$L$10,2)</f>
        <v>46.72</v>
      </c>
      <c r="O13" s="905">
        <f aca="true" t="shared" si="7" ref="O13:O15">+M13*D13</f>
        <v>654.0799999999999</v>
      </c>
    </row>
    <row r="14" spans="1:15" ht="12.75">
      <c r="A14" s="260" t="s">
        <v>150</v>
      </c>
      <c r="B14" s="95" t="str">
        <f>+'[6]VNR2004'!B10</f>
        <v>Miles B/./Salida</v>
      </c>
      <c r="C14" s="185">
        <f>+'CX cxj Año3'!C14+' VNR'!L35/2+' VNR'!O35/2</f>
        <v>1677.1</v>
      </c>
      <c r="D14" s="95">
        <f>+' VNR'!D7</f>
        <v>3</v>
      </c>
      <c r="E14" s="185">
        <f t="shared" si="0"/>
        <v>559.0333333333333</v>
      </c>
      <c r="F14" s="95">
        <f t="shared" si="1"/>
        <v>11.963313333333332</v>
      </c>
      <c r="G14" s="186">
        <f t="shared" si="2"/>
        <v>3.3542</v>
      </c>
      <c r="H14" s="95">
        <f t="shared" si="3"/>
        <v>16.770999999999997</v>
      </c>
      <c r="I14" s="261">
        <f t="shared" si="4"/>
        <v>43.884116666666664</v>
      </c>
      <c r="J14" s="184"/>
      <c r="K14" s="279">
        <f t="shared" si="5"/>
        <v>75.97263</v>
      </c>
      <c r="L14" s="280"/>
      <c r="M14" s="881">
        <f t="shared" si="6"/>
        <v>47.08</v>
      </c>
      <c r="O14" s="905">
        <f t="shared" si="7"/>
        <v>141.24</v>
      </c>
    </row>
    <row r="15" spans="1:15" ht="12.75">
      <c r="A15" s="260" t="s">
        <v>151</v>
      </c>
      <c r="B15" s="95" t="str">
        <f>+'[6]VNR2004'!B11</f>
        <v>Miles B/./Salida</v>
      </c>
      <c r="C15" s="185">
        <f>+'CX cxj Año3'!C15+' VNR'!L36/2+' VNR'!O36/2</f>
        <v>4931.205</v>
      </c>
      <c r="D15" s="95">
        <f>+' VNR'!D8</f>
        <v>4</v>
      </c>
      <c r="E15" s="185">
        <f t="shared" si="0"/>
        <v>1232.80125</v>
      </c>
      <c r="F15" s="95">
        <f t="shared" si="1"/>
        <v>26.381946749999997</v>
      </c>
      <c r="G15" s="186">
        <f t="shared" si="2"/>
        <v>7.3968075</v>
      </c>
      <c r="H15" s="95">
        <f t="shared" si="3"/>
        <v>36.9840375</v>
      </c>
      <c r="I15" s="261">
        <f t="shared" si="4"/>
        <v>96.77489812499999</v>
      </c>
      <c r="J15" s="184"/>
      <c r="K15" s="279">
        <f t="shared" si="5"/>
        <v>167.53768987499998</v>
      </c>
      <c r="L15" s="280"/>
      <c r="M15" s="881">
        <f t="shared" si="6"/>
        <v>103.82</v>
      </c>
      <c r="O15" s="905">
        <f t="shared" si="7"/>
        <v>415.28</v>
      </c>
    </row>
    <row r="16" spans="1:15" ht="12.75">
      <c r="A16" s="260" t="s">
        <v>160</v>
      </c>
      <c r="B16" s="182" t="s">
        <v>73</v>
      </c>
      <c r="C16" s="185">
        <f>+'CX cxj Año3'!C16+' VNR'!L37/2+' VNR'!O37/2</f>
        <v>0</v>
      </c>
      <c r="D16" s="95">
        <f>+' VNR'!D9</f>
        <v>0</v>
      </c>
      <c r="E16" s="185">
        <f>+' VNR'!E9</f>
        <v>0</v>
      </c>
      <c r="F16" s="95">
        <f t="shared" si="1"/>
        <v>0</v>
      </c>
      <c r="G16" s="186">
        <f t="shared" si="2"/>
        <v>0</v>
      </c>
      <c r="H16" s="95">
        <f t="shared" si="3"/>
        <v>0</v>
      </c>
      <c r="I16" s="261">
        <f t="shared" si="4"/>
        <v>0</v>
      </c>
      <c r="J16" s="184"/>
      <c r="K16" s="882" t="s">
        <v>198</v>
      </c>
      <c r="L16" s="280"/>
      <c r="M16" s="882" t="s">
        <v>198</v>
      </c>
      <c r="O16" s="905">
        <f>+' VNR'!O9</f>
        <v>0</v>
      </c>
    </row>
    <row r="17" spans="1:15" ht="12.75">
      <c r="A17" s="260" t="s">
        <v>161</v>
      </c>
      <c r="B17" s="95" t="str">
        <f>+'[6]VNR2004'!B13</f>
        <v>Miles B/./Salida</v>
      </c>
      <c r="C17" s="185">
        <f>+'CX cxj Año3'!C17+' VNR'!L38/2+' VNR'!O38/2</f>
        <v>0</v>
      </c>
      <c r="D17" s="95"/>
      <c r="E17" s="185"/>
      <c r="F17" s="95">
        <f t="shared" si="1"/>
        <v>0</v>
      </c>
      <c r="G17" s="186">
        <f t="shared" si="2"/>
        <v>0</v>
      </c>
      <c r="H17" s="95">
        <f t="shared" si="3"/>
        <v>0</v>
      </c>
      <c r="I17" s="261">
        <f t="shared" si="4"/>
        <v>0</v>
      </c>
      <c r="J17" s="184"/>
      <c r="K17" s="481" t="s">
        <v>198</v>
      </c>
      <c r="L17" s="280"/>
      <c r="M17" s="882" t="s">
        <v>198</v>
      </c>
      <c r="O17" s="905"/>
    </row>
    <row r="18" spans="1:15" ht="12.75">
      <c r="A18" s="294" t="s">
        <v>152</v>
      </c>
      <c r="B18" s="182" t="s">
        <v>73</v>
      </c>
      <c r="C18" s="185">
        <f>+'CX cxj Año3'!C18+' VNR'!L39/2+' VNR'!O39/2</f>
        <v>3473.011</v>
      </c>
      <c r="D18" s="95">
        <f>+' VNR'!D11</f>
        <v>2</v>
      </c>
      <c r="E18" s="185">
        <f aca="true" t="shared" si="8" ref="E18:E19">+C18/D18</f>
        <v>1736.5055</v>
      </c>
      <c r="F18" s="95">
        <f t="shared" si="1"/>
        <v>37.161217699999995</v>
      </c>
      <c r="G18" s="186">
        <f t="shared" si="2"/>
        <v>10.419033</v>
      </c>
      <c r="H18" s="95">
        <f t="shared" si="3"/>
        <v>52.095164999999994</v>
      </c>
      <c r="I18" s="261">
        <f t="shared" si="4"/>
        <v>136.31568175</v>
      </c>
      <c r="J18" s="184"/>
      <c r="K18" s="480">
        <f t="shared" si="5"/>
        <v>235.99109744999998</v>
      </c>
      <c r="L18" s="280"/>
      <c r="M18" s="881">
        <f>ROUND(+K18*$L$10,2)</f>
        <v>146.24</v>
      </c>
      <c r="O18" s="905">
        <f aca="true" t="shared" si="9" ref="O18:O19">+M18*D18</f>
        <v>292.48</v>
      </c>
    </row>
    <row r="19" spans="1:15" ht="12.75">
      <c r="A19" s="486" t="s">
        <v>271</v>
      </c>
      <c r="B19" s="182" t="s">
        <v>73</v>
      </c>
      <c r="C19" s="185">
        <f>+'CX cxj Año3'!C19+' VNR'!L40/2+' VNR'!O40/2</f>
        <v>9580</v>
      </c>
      <c r="D19" s="95">
        <f>+' VNR'!G40</f>
        <v>3</v>
      </c>
      <c r="E19" s="185">
        <f t="shared" si="8"/>
        <v>3193.3333333333335</v>
      </c>
      <c r="F19" s="95">
        <f t="shared" si="1"/>
        <v>68.33733333333333</v>
      </c>
      <c r="G19" s="186">
        <f t="shared" si="2"/>
        <v>19.16</v>
      </c>
      <c r="H19" s="95">
        <f t="shared" si="3"/>
        <v>95.8</v>
      </c>
      <c r="I19" s="261">
        <f t="shared" si="4"/>
        <v>250.67666666666668</v>
      </c>
      <c r="J19" s="184"/>
      <c r="K19" s="480">
        <f t="shared" si="5"/>
        <v>433.974</v>
      </c>
      <c r="L19" s="280"/>
      <c r="M19" s="881">
        <f>ROUND(+K19*$L$10,2)</f>
        <v>268.93</v>
      </c>
      <c r="O19" s="905">
        <f t="shared" si="9"/>
        <v>806.79</v>
      </c>
    </row>
    <row r="20" spans="1:15" ht="12.75">
      <c r="A20" s="908" t="s">
        <v>4</v>
      </c>
      <c r="B20" s="95"/>
      <c r="C20" s="185">
        <f>+'CX cxj Año3'!C20+' VNR'!L42/2+' VNR'!O42/2</f>
        <v>0</v>
      </c>
      <c r="D20" s="95"/>
      <c r="E20" s="185"/>
      <c r="F20" s="95"/>
      <c r="G20" s="186"/>
      <c r="H20" s="95"/>
      <c r="I20" s="261"/>
      <c r="J20" s="184"/>
      <c r="K20" s="480"/>
      <c r="L20" s="280"/>
      <c r="M20" s="881"/>
      <c r="O20" s="905"/>
    </row>
    <row r="21" spans="1:15" ht="12.75">
      <c r="A21" s="305" t="str">
        <f>+' VNR'!B15</f>
        <v>CXTR Reductor 60/80/100 MVA</v>
      </c>
      <c r="B21" s="95" t="s">
        <v>159</v>
      </c>
      <c r="C21" s="185">
        <f>+'CX cxj Año3'!C21+' VNR'!L43/2+' VNR'!O43/2</f>
        <v>8326</v>
      </c>
      <c r="D21" s="95">
        <f>+' VNR'!D43</f>
        <v>200</v>
      </c>
      <c r="E21" s="185">
        <f aca="true" t="shared" si="10" ref="E21:E24">+C21/D21</f>
        <v>41.63</v>
      </c>
      <c r="F21" s="95">
        <f t="shared" si="1"/>
        <v>0.8908820000000001</v>
      </c>
      <c r="G21" s="186">
        <f t="shared" si="2"/>
        <v>0.24978000000000003</v>
      </c>
      <c r="H21" s="95">
        <f t="shared" si="3"/>
        <v>1.2489000000000001</v>
      </c>
      <c r="I21" s="261">
        <f t="shared" si="4"/>
        <v>3.267955</v>
      </c>
      <c r="J21" s="184"/>
      <c r="K21" s="482">
        <f>+G21+F21+H21+I21</f>
        <v>5.657517</v>
      </c>
      <c r="L21" s="280"/>
      <c r="M21" s="881">
        <f t="shared" si="6"/>
        <v>3.51</v>
      </c>
      <c r="O21" s="905">
        <f aca="true" t="shared" si="11" ref="O21:O26">+M21*D21</f>
        <v>702</v>
      </c>
    </row>
    <row r="22" spans="1:15" ht="12.75">
      <c r="A22" s="306" t="s">
        <v>5</v>
      </c>
      <c r="B22" s="95" t="s">
        <v>159</v>
      </c>
      <c r="C22" s="185">
        <f>+'CX cxj Año3'!C22+' VNR'!L44/2+' VNR'!O44/2</f>
        <v>7460.677</v>
      </c>
      <c r="D22" s="95">
        <f>+' VNR'!D16</f>
        <v>140</v>
      </c>
      <c r="E22" s="185">
        <f t="shared" si="10"/>
        <v>53.290549999999996</v>
      </c>
      <c r="F22" s="95">
        <f t="shared" si="1"/>
        <v>1.1404177699999998</v>
      </c>
      <c r="G22" s="186">
        <f t="shared" si="2"/>
        <v>0.3197433</v>
      </c>
      <c r="H22" s="95">
        <f t="shared" si="3"/>
        <v>1.5987164999999999</v>
      </c>
      <c r="I22" s="261">
        <f t="shared" si="4"/>
        <v>4.183308175</v>
      </c>
      <c r="J22" s="184"/>
      <c r="K22" s="482">
        <f>+G22+F22+H22+I22</f>
        <v>7.242185745</v>
      </c>
      <c r="L22" s="280"/>
      <c r="M22" s="881">
        <f t="shared" si="6"/>
        <v>4.49</v>
      </c>
      <c r="O22" s="905">
        <f t="shared" si="11"/>
        <v>628.6</v>
      </c>
    </row>
    <row r="23" spans="1:15" ht="12.75">
      <c r="A23" s="306" t="s">
        <v>6</v>
      </c>
      <c r="B23" s="95" t="s">
        <v>159</v>
      </c>
      <c r="C23" s="185">
        <f>+'CX cxj Año3'!C23+' VNR'!L45/2+' VNR'!O45/2</f>
        <v>5001.443</v>
      </c>
      <c r="D23" s="95">
        <f>+' VNR'!D17</f>
        <v>100</v>
      </c>
      <c r="E23" s="185">
        <f t="shared" si="10"/>
        <v>50.014430000000004</v>
      </c>
      <c r="F23" s="95">
        <f t="shared" si="1"/>
        <v>1.070308802</v>
      </c>
      <c r="G23" s="186">
        <f t="shared" si="2"/>
        <v>0.30008658000000005</v>
      </c>
      <c r="H23" s="95">
        <f t="shared" si="3"/>
        <v>1.5004329</v>
      </c>
      <c r="I23" s="261">
        <f t="shared" si="4"/>
        <v>3.9261327550000003</v>
      </c>
      <c r="J23" s="184"/>
      <c r="K23" s="283">
        <f>+G23+F23+H23+I23</f>
        <v>6.796961037000001</v>
      </c>
      <c r="L23" s="280"/>
      <c r="M23" s="881">
        <f t="shared" si="6"/>
        <v>4.21</v>
      </c>
      <c r="O23" s="905">
        <f t="shared" si="11"/>
        <v>421</v>
      </c>
    </row>
    <row r="24" spans="1:15" ht="12.75">
      <c r="A24" s="911" t="s">
        <v>7</v>
      </c>
      <c r="B24" s="95" t="s">
        <v>159</v>
      </c>
      <c r="C24" s="185">
        <f>+'CX cxj Año3'!C24+' VNR'!L46/2+' VNR'!O46/2</f>
        <v>1768.618</v>
      </c>
      <c r="D24" s="95">
        <f>+' VNR'!D18</f>
        <v>24</v>
      </c>
      <c r="E24" s="185">
        <f t="shared" si="10"/>
        <v>73.69241666666666</v>
      </c>
      <c r="F24" s="95">
        <f t="shared" si="1"/>
        <v>1.5770177166666663</v>
      </c>
      <c r="G24" s="186">
        <f t="shared" si="2"/>
        <v>0.44215449999999995</v>
      </c>
      <c r="H24" s="95">
        <f t="shared" si="3"/>
        <v>2.2107724999999996</v>
      </c>
      <c r="I24" s="261">
        <f t="shared" si="4"/>
        <v>5.784854708333333</v>
      </c>
      <c r="J24" s="184"/>
      <c r="K24" s="283">
        <f>+G24+F24+H24+I24</f>
        <v>10.014799424999998</v>
      </c>
      <c r="L24" s="280"/>
      <c r="M24" s="881">
        <f>ROUND(+K24*$L$10,2)</f>
        <v>6.21</v>
      </c>
      <c r="N24" s="135"/>
      <c r="O24" s="905">
        <f t="shared" si="11"/>
        <v>149.04</v>
      </c>
    </row>
    <row r="25" spans="1:15" ht="12.75">
      <c r="A25" s="295" t="s">
        <v>8</v>
      </c>
      <c r="B25" s="484" t="s">
        <v>11</v>
      </c>
      <c r="C25" s="185">
        <f>+'CX cxj Año3'!C25+' VNR'!L48/2+' VNR'!O48/2</f>
        <v>0</v>
      </c>
      <c r="D25" s="484"/>
      <c r="E25" s="185"/>
      <c r="F25" s="95"/>
      <c r="G25" s="186"/>
      <c r="H25" s="95"/>
      <c r="I25" s="261"/>
      <c r="J25" s="184"/>
      <c r="K25" s="283"/>
      <c r="L25" s="280"/>
      <c r="M25" s="281"/>
      <c r="N25" s="135"/>
      <c r="O25" s="905"/>
    </row>
    <row r="26" spans="1:15" ht="12.75">
      <c r="A26" s="262" t="s">
        <v>205</v>
      </c>
      <c r="B26" s="95" t="str">
        <f>+'[6]VNR2004'!B21</f>
        <v>Miles B/./km</v>
      </c>
      <c r="C26" s="185">
        <f>+'CX cxj Año3'!C26+' VNR'!L49/2+' VNR'!O49/2</f>
        <v>4882.028</v>
      </c>
      <c r="D26" s="95">
        <f>+' VNR'!E75</f>
        <v>38.3</v>
      </c>
      <c r="E26" s="185">
        <f>+' VNR'!E21</f>
        <v>127.46809399477809</v>
      </c>
      <c r="F26" s="95">
        <f t="shared" si="1"/>
        <v>2.727817211488251</v>
      </c>
      <c r="G26" s="186">
        <f t="shared" si="2"/>
        <v>0.7648085639686686</v>
      </c>
      <c r="H26" s="95">
        <f t="shared" si="3"/>
        <v>3.8240428198433425</v>
      </c>
      <c r="I26" s="261">
        <f t="shared" si="4"/>
        <v>10.00624537859008</v>
      </c>
      <c r="J26" s="184"/>
      <c r="K26" s="279">
        <f aca="true" t="shared" si="12" ref="K26:K31">+F26+G26+H26+I26</f>
        <v>17.322913973890344</v>
      </c>
      <c r="L26" s="280"/>
      <c r="M26" s="281">
        <f>ROUND(+K26*$L$10,2)</f>
        <v>10.73</v>
      </c>
      <c r="N26" s="135"/>
      <c r="O26" s="905">
        <f t="shared" si="11"/>
        <v>410.959</v>
      </c>
    </row>
    <row r="27" spans="1:15" ht="12.75">
      <c r="A27" s="262" t="s">
        <v>209</v>
      </c>
      <c r="B27" s="95" t="str">
        <f>+'[6]VNR2004'!B22</f>
        <v>Miles B/./km</v>
      </c>
      <c r="C27" s="185"/>
      <c r="D27" s="95"/>
      <c r="E27" s="185"/>
      <c r="F27" s="95"/>
      <c r="G27" s="186"/>
      <c r="H27" s="95"/>
      <c r="I27" s="261"/>
      <c r="J27" s="184"/>
      <c r="K27" s="279">
        <f t="shared" si="12"/>
        <v>0</v>
      </c>
      <c r="L27" s="280"/>
      <c r="M27" s="282" t="s">
        <v>198</v>
      </c>
      <c r="N27" s="135"/>
      <c r="O27" s="905">
        <f>+' VNR'!O22</f>
        <v>0</v>
      </c>
    </row>
    <row r="28" spans="1:15" ht="12.75">
      <c r="A28" s="262" t="s">
        <v>155</v>
      </c>
      <c r="B28" s="95" t="str">
        <f>+'[6]VNR2004'!B23</f>
        <v>Miles B/./km</v>
      </c>
      <c r="C28" s="185"/>
      <c r="D28" s="95"/>
      <c r="E28" s="185"/>
      <c r="F28" s="95"/>
      <c r="G28" s="186"/>
      <c r="H28" s="95"/>
      <c r="I28" s="261"/>
      <c r="J28" s="184"/>
      <c r="K28" s="279">
        <f t="shared" si="12"/>
        <v>0</v>
      </c>
      <c r="L28" s="280"/>
      <c r="M28" s="282" t="s">
        <v>198</v>
      </c>
      <c r="O28" s="905">
        <f>+' VNR'!O23</f>
        <v>0</v>
      </c>
    </row>
    <row r="29" spans="1:15" ht="12.75">
      <c r="A29" s="262" t="s">
        <v>204</v>
      </c>
      <c r="B29" s="95" t="str">
        <f>+'[6]VNR2004'!B24</f>
        <v>Miles B/./km</v>
      </c>
      <c r="C29" s="332"/>
      <c r="D29" s="256"/>
      <c r="E29" s="332"/>
      <c r="F29" s="95"/>
      <c r="G29" s="186"/>
      <c r="H29" s="95"/>
      <c r="I29" s="261"/>
      <c r="J29" s="184"/>
      <c r="K29" s="279">
        <f t="shared" si="12"/>
        <v>0</v>
      </c>
      <c r="L29" s="284"/>
      <c r="M29" s="282" t="s">
        <v>198</v>
      </c>
      <c r="O29" s="906">
        <f>+' VNR'!K24</f>
        <v>0</v>
      </c>
    </row>
    <row r="30" spans="1:15" ht="12.75">
      <c r="A30" s="262" t="s">
        <v>208</v>
      </c>
      <c r="B30" s="182" t="s">
        <v>206</v>
      </c>
      <c r="C30" s="332"/>
      <c r="D30" s="902"/>
      <c r="E30" s="332"/>
      <c r="F30" s="256"/>
      <c r="G30" s="257"/>
      <c r="H30" s="256"/>
      <c r="I30" s="263"/>
      <c r="J30" s="184"/>
      <c r="K30" s="285">
        <f t="shared" si="12"/>
        <v>0</v>
      </c>
      <c r="L30" s="284"/>
      <c r="M30" s="282" t="s">
        <v>198</v>
      </c>
      <c r="O30" s="906">
        <f>+' VNR'!K25</f>
        <v>0</v>
      </c>
    </row>
    <row r="31" spans="1:15" ht="13.5" thickBot="1">
      <c r="A31" s="264" t="s">
        <v>207</v>
      </c>
      <c r="B31" s="265" t="str">
        <f>+'[6]VNR2004'!B24</f>
        <v>Miles B/./km</v>
      </c>
      <c r="C31" s="267"/>
      <c r="D31" s="265"/>
      <c r="E31" s="267"/>
      <c r="F31" s="265"/>
      <c r="G31" s="266"/>
      <c r="H31" s="265"/>
      <c r="I31" s="267"/>
      <c r="J31" s="184"/>
      <c r="K31" s="286">
        <f t="shared" si="12"/>
        <v>0</v>
      </c>
      <c r="L31" s="287"/>
      <c r="M31" s="288" t="s">
        <v>198</v>
      </c>
      <c r="O31" s="907">
        <f>+' VNR'!O26</f>
        <v>0</v>
      </c>
    </row>
    <row r="32" spans="1:15" ht="12.75">
      <c r="A32" s="213"/>
      <c r="C32" s="142"/>
      <c r="O32" s="142"/>
    </row>
    <row r="33" spans="1:15" ht="13.5" thickBot="1">
      <c r="A33" s="964" t="s">
        <v>319</v>
      </c>
      <c r="B33" s="944"/>
      <c r="C33" s="944">
        <f>+'CX cxj Año3'!C33+' VNR'!L41/2+' VNR'!O41/2+' VNR'!L47/2+' VNR'!O47/2</f>
        <v>10315.5</v>
      </c>
      <c r="D33" s="944"/>
      <c r="E33" s="945">
        <f>+C33</f>
        <v>10315.5</v>
      </c>
      <c r="F33" s="944">
        <f aca="true" t="shared" si="13" ref="F33">$E33*$F$10</f>
        <v>220.7517</v>
      </c>
      <c r="G33" s="953">
        <f aca="true" t="shared" si="14" ref="G33">+$E33*$G$10</f>
        <v>61.893</v>
      </c>
      <c r="H33" s="944">
        <f aca="true" t="shared" si="15" ref="H33">$E33*$H$10</f>
        <v>309.465</v>
      </c>
      <c r="I33" s="945">
        <f aca="true" t="shared" si="16" ref="I33">$E33*$I$10</f>
        <v>809.76675</v>
      </c>
      <c r="J33" s="184"/>
      <c r="K33" s="954">
        <f aca="true" t="shared" si="17" ref="K33">+F33+G33+H33+I33</f>
        <v>1401.87645</v>
      </c>
      <c r="L33" s="950"/>
      <c r="M33" s="955">
        <f>ROUND(+K33*$L$10,2)</f>
        <v>868.72</v>
      </c>
      <c r="O33" s="952">
        <f>+M33</f>
        <v>868.72</v>
      </c>
    </row>
    <row r="34" spans="1:15" ht="12.75">
      <c r="A34" s="213"/>
      <c r="B34" s="941"/>
      <c r="C34" s="941"/>
      <c r="D34" s="941"/>
      <c r="E34" s="941"/>
      <c r="F34" s="941"/>
      <c r="G34" s="942"/>
      <c r="H34" s="941"/>
      <c r="I34" s="941"/>
      <c r="J34" s="31"/>
      <c r="K34" s="942"/>
      <c r="L34" s="96"/>
      <c r="M34" s="943"/>
      <c r="O34" s="941"/>
    </row>
    <row r="35" spans="1:15" ht="12.75">
      <c r="A35" s="213"/>
      <c r="C35" s="142"/>
      <c r="N35" s="133" t="s">
        <v>12</v>
      </c>
      <c r="O35" s="142">
        <f>SUM(O12:O31)+O33</f>
        <v>5704.0289999999995</v>
      </c>
    </row>
  </sheetData>
  <sheetProtection password="CC53" sheet="1" objects="1" scenarios="1"/>
  <mergeCells count="18">
    <mergeCell ref="L8:L9"/>
    <mergeCell ref="M8:M9"/>
    <mergeCell ref="O8:O9"/>
    <mergeCell ref="F8:F9"/>
    <mergeCell ref="G8:G9"/>
    <mergeCell ref="I8:I9"/>
    <mergeCell ref="K8:K9"/>
    <mergeCell ref="H8:H9"/>
    <mergeCell ref="A1:K1"/>
    <mergeCell ref="A2:K2"/>
    <mergeCell ref="A3:D6"/>
    <mergeCell ref="E3:K3"/>
    <mergeCell ref="E5:K5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="110" zoomScaleNormal="110" workbookViewId="0" topLeftCell="A1">
      <selection activeCell="C27" sqref="C27"/>
    </sheetView>
  </sheetViews>
  <sheetFormatPr defaultColWidth="11.421875" defaultRowHeight="12.75"/>
  <cols>
    <col min="1" max="1" width="36.57421875" style="335" customWidth="1"/>
    <col min="2" max="3" width="14.421875" style="335" customWidth="1"/>
    <col min="4" max="4" width="13.421875" style="335" customWidth="1"/>
    <col min="5" max="5" width="11.8515625" style="335" customWidth="1"/>
    <col min="6" max="6" width="11.421875" style="335" customWidth="1"/>
    <col min="7" max="7" width="12.8515625" style="335" customWidth="1"/>
    <col min="8" max="8" width="14.8515625" style="335" customWidth="1"/>
    <col min="9" max="16384" width="11.421875" style="335" customWidth="1"/>
  </cols>
  <sheetData>
    <row r="1" spans="1:8" ht="18">
      <c r="A1" s="1018" t="s">
        <v>157</v>
      </c>
      <c r="B1" s="1018"/>
      <c r="C1" s="1018"/>
      <c r="D1" s="1018"/>
      <c r="E1" s="1018"/>
      <c r="F1" s="1018"/>
      <c r="G1" s="1018"/>
      <c r="H1" s="1018"/>
    </row>
    <row r="2" spans="1:8" ht="39.6" customHeight="1">
      <c r="A2" s="1019" t="s">
        <v>23</v>
      </c>
      <c r="B2" s="1019"/>
      <c r="C2" s="1019"/>
      <c r="D2" s="1019"/>
      <c r="E2" s="1019"/>
      <c r="F2" s="1019"/>
      <c r="G2" s="1019"/>
      <c r="H2" s="1019"/>
    </row>
    <row r="3" spans="1:8" ht="27.6" customHeight="1">
      <c r="A3" s="1020" t="s">
        <v>222</v>
      </c>
      <c r="B3" s="1020"/>
      <c r="C3" s="1020"/>
      <c r="D3" s="1020"/>
      <c r="E3" s="1020"/>
      <c r="F3" s="1020"/>
      <c r="G3" s="1020"/>
      <c r="H3" s="1020"/>
    </row>
    <row r="4" spans="1:8" ht="27.6" customHeight="1" thickBot="1">
      <c r="A4" s="1021" t="s">
        <v>109</v>
      </c>
      <c r="B4" s="1021"/>
      <c r="C4" s="1021"/>
      <c r="D4" s="1021"/>
      <c r="E4" s="1021"/>
      <c r="F4" s="1021"/>
      <c r="G4" s="1021"/>
      <c r="H4" s="1021"/>
    </row>
    <row r="5" spans="1:8" ht="44.25" customHeight="1" thickBot="1">
      <c r="A5" s="1022" t="s">
        <v>223</v>
      </c>
      <c r="B5" s="1023"/>
      <c r="C5" s="1023"/>
      <c r="D5" s="1023"/>
      <c r="E5" s="1023"/>
      <c r="F5" s="1024"/>
      <c r="G5" s="1024"/>
      <c r="H5" s="1025"/>
    </row>
    <row r="6" spans="1:8" ht="19.15" customHeight="1">
      <c r="A6" s="1007" t="s">
        <v>24</v>
      </c>
      <c r="B6" s="1009" t="s">
        <v>17</v>
      </c>
      <c r="C6" s="1011" t="s">
        <v>224</v>
      </c>
      <c r="D6" s="1013" t="s">
        <v>225</v>
      </c>
      <c r="E6" s="1014"/>
      <c r="F6" s="1014"/>
      <c r="G6" s="1015"/>
      <c r="H6" s="1016" t="s">
        <v>226</v>
      </c>
    </row>
    <row r="7" spans="1:8" ht="21.6" customHeight="1" thickBot="1">
      <c r="A7" s="1008"/>
      <c r="B7" s="1010"/>
      <c r="C7" s="1012"/>
      <c r="D7" s="506" t="s">
        <v>277</v>
      </c>
      <c r="E7" s="506" t="s">
        <v>278</v>
      </c>
      <c r="F7" s="506" t="s">
        <v>279</v>
      </c>
      <c r="G7" s="506" t="s">
        <v>113</v>
      </c>
      <c r="H7" s="1017"/>
    </row>
    <row r="8" spans="1:8" ht="16.5" thickBot="1">
      <c r="A8" s="336" t="s">
        <v>227</v>
      </c>
      <c r="B8" s="337"/>
      <c r="C8" s="338"/>
      <c r="D8" s="339">
        <f>+'CX cxj Año1 '!F10</f>
        <v>0.0214</v>
      </c>
      <c r="E8" s="339">
        <f>+'CX cxj Año1 '!G10</f>
        <v>0.006</v>
      </c>
      <c r="F8" s="524">
        <f>+'CX cxj Año1 '!H10</f>
        <v>0.03</v>
      </c>
      <c r="G8" s="340">
        <f>+'CX cxj Año1 '!I10</f>
        <v>0.0785</v>
      </c>
      <c r="H8" s="507"/>
    </row>
    <row r="9" spans="1:8" ht="13.5" thickBot="1">
      <c r="A9" s="518" t="s">
        <v>186</v>
      </c>
      <c r="B9" s="519"/>
      <c r="C9" s="520"/>
      <c r="D9" s="521"/>
      <c r="E9" s="521"/>
      <c r="F9" s="521"/>
      <c r="G9" s="521"/>
      <c r="H9" s="522"/>
    </row>
    <row r="10" spans="1:8" ht="12.75">
      <c r="A10" s="341"/>
      <c r="B10" s="342"/>
      <c r="C10" s="343"/>
      <c r="D10" s="344"/>
      <c r="E10" s="344"/>
      <c r="F10" s="344"/>
      <c r="G10" s="344"/>
      <c r="H10" s="345"/>
    </row>
    <row r="11" spans="1:8" ht="12.75">
      <c r="A11" s="346" t="s">
        <v>187</v>
      </c>
      <c r="B11" s="347" t="s">
        <v>73</v>
      </c>
      <c r="C11" s="348">
        <f>1655510.0562/1000</f>
        <v>1655.5100562</v>
      </c>
      <c r="D11" s="342">
        <f aca="true" t="shared" si="0" ref="D11:G16">$C11*D$8</f>
        <v>35.42791520268</v>
      </c>
      <c r="E11" s="342">
        <f t="shared" si="0"/>
        <v>9.9330603372</v>
      </c>
      <c r="F11" s="342">
        <f t="shared" si="0"/>
        <v>49.665301686</v>
      </c>
      <c r="G11" s="342">
        <f t="shared" si="0"/>
        <v>129.9575394117</v>
      </c>
      <c r="H11" s="508">
        <f aca="true" t="shared" si="1" ref="H11:H16">+D11+E11+F11+G11</f>
        <v>224.98381663758</v>
      </c>
    </row>
    <row r="12" spans="1:8" ht="12.75">
      <c r="A12" s="349" t="s">
        <v>188</v>
      </c>
      <c r="B12" s="350" t="s">
        <v>73</v>
      </c>
      <c r="C12" s="348">
        <f>2874081.9744/1000</f>
        <v>2874.0819744</v>
      </c>
      <c r="D12" s="351">
        <f t="shared" si="0"/>
        <v>61.50535425216</v>
      </c>
      <c r="E12" s="351">
        <f t="shared" si="0"/>
        <v>17.2444918464</v>
      </c>
      <c r="F12" s="351">
        <f t="shared" si="0"/>
        <v>86.22245923199999</v>
      </c>
      <c r="G12" s="351">
        <f t="shared" si="0"/>
        <v>225.6154349904</v>
      </c>
      <c r="H12" s="509">
        <f t="shared" si="1"/>
        <v>390.58774032096</v>
      </c>
    </row>
    <row r="13" spans="1:8" ht="12.75">
      <c r="A13" s="349" t="s">
        <v>189</v>
      </c>
      <c r="B13" s="350" t="s">
        <v>73</v>
      </c>
      <c r="C13" s="479">
        <f>1157642.10857295/1000</f>
        <v>1157.6421085729498</v>
      </c>
      <c r="D13" s="351">
        <f t="shared" si="0"/>
        <v>24.773541123461126</v>
      </c>
      <c r="E13" s="351">
        <f t="shared" si="0"/>
        <v>6.945852651437699</v>
      </c>
      <c r="F13" s="351">
        <f t="shared" si="0"/>
        <v>34.72926325718849</v>
      </c>
      <c r="G13" s="351">
        <f t="shared" si="0"/>
        <v>90.87490552297656</v>
      </c>
      <c r="H13" s="509">
        <f t="shared" si="1"/>
        <v>157.32356255506386</v>
      </c>
    </row>
    <row r="14" spans="1:8" ht="12.75">
      <c r="A14" s="349" t="s">
        <v>190</v>
      </c>
      <c r="B14" s="350" t="s">
        <v>73</v>
      </c>
      <c r="C14" s="348">
        <f>1994862.9159459/1000</f>
        <v>1994.8629159458999</v>
      </c>
      <c r="D14" s="351">
        <f t="shared" si="0"/>
        <v>42.690066401242255</v>
      </c>
      <c r="E14" s="351">
        <f t="shared" si="0"/>
        <v>11.9691774956754</v>
      </c>
      <c r="F14" s="351">
        <f t="shared" si="0"/>
        <v>59.845887478376994</v>
      </c>
      <c r="G14" s="351">
        <f t="shared" si="0"/>
        <v>156.59673890175313</v>
      </c>
      <c r="H14" s="509">
        <f t="shared" si="1"/>
        <v>271.1018702770478</v>
      </c>
    </row>
    <row r="15" spans="1:8" ht="12.75">
      <c r="A15" s="349" t="s">
        <v>191</v>
      </c>
      <c r="B15" s="352" t="s">
        <v>73</v>
      </c>
      <c r="C15" s="348">
        <v>423.4411024695907</v>
      </c>
      <c r="D15" s="351">
        <f t="shared" si="0"/>
        <v>9.061639592849241</v>
      </c>
      <c r="E15" s="351">
        <f t="shared" si="0"/>
        <v>2.540646614817544</v>
      </c>
      <c r="F15" s="351">
        <f t="shared" si="0"/>
        <v>12.70323307408772</v>
      </c>
      <c r="G15" s="351">
        <f t="shared" si="0"/>
        <v>33.24012654386287</v>
      </c>
      <c r="H15" s="509">
        <f t="shared" si="1"/>
        <v>57.54564582561738</v>
      </c>
    </row>
    <row r="16" spans="1:8" ht="13.5" thickBot="1">
      <c r="A16" s="353" t="s">
        <v>192</v>
      </c>
      <c r="B16" s="354" t="s">
        <v>73</v>
      </c>
      <c r="C16" s="348">
        <v>680.3282056299732</v>
      </c>
      <c r="D16" s="355">
        <f t="shared" si="0"/>
        <v>14.559023600481426</v>
      </c>
      <c r="E16" s="355">
        <f t="shared" si="0"/>
        <v>4.08196923377984</v>
      </c>
      <c r="F16" s="355">
        <f t="shared" si="0"/>
        <v>20.409846168899197</v>
      </c>
      <c r="G16" s="355">
        <f t="shared" si="0"/>
        <v>53.4057641419529</v>
      </c>
      <c r="H16" s="510">
        <f t="shared" si="1"/>
        <v>92.45660314511336</v>
      </c>
    </row>
    <row r="17" spans="1:8" ht="13.5" thickBot="1">
      <c r="A17" s="336" t="s">
        <v>193</v>
      </c>
      <c r="B17" s="515"/>
      <c r="C17" s="516"/>
      <c r="D17" s="516"/>
      <c r="E17" s="516"/>
      <c r="F17" s="516"/>
      <c r="G17" s="516"/>
      <c r="H17" s="517"/>
    </row>
    <row r="18" spans="1:8" ht="13.5" thickBot="1">
      <c r="A18" s="511" t="s">
        <v>194</v>
      </c>
      <c r="B18" s="512" t="s">
        <v>228</v>
      </c>
      <c r="C18" s="513">
        <v>315.91</v>
      </c>
      <c r="D18" s="514">
        <f>$C18*D$8</f>
        <v>6.760474</v>
      </c>
      <c r="E18" s="514">
        <f>$C18*E$8</f>
        <v>1.8954600000000001</v>
      </c>
      <c r="F18" s="514">
        <f>$C18*F$8</f>
        <v>9.4773</v>
      </c>
      <c r="G18" s="514">
        <f>$C18*G$8</f>
        <v>24.798935000000004</v>
      </c>
      <c r="H18" s="523">
        <f>+D18+E18+F18+G18</f>
        <v>42.932169</v>
      </c>
    </row>
    <row r="19" spans="1:8" ht="19.15" customHeight="1">
      <c r="A19" s="1006" t="s">
        <v>195</v>
      </c>
      <c r="B19" s="1006"/>
      <c r="C19" s="1006"/>
      <c r="D19" s="1006"/>
      <c r="E19" s="1006"/>
      <c r="F19" s="1006"/>
      <c r="G19" s="1006"/>
      <c r="H19" s="1006"/>
    </row>
    <row r="20" spans="1:8" ht="16.15" customHeight="1">
      <c r="A20" s="356" t="s">
        <v>229</v>
      </c>
      <c r="B20" s="357"/>
      <c r="C20" s="357"/>
      <c r="D20" s="357"/>
      <c r="E20" s="357"/>
      <c r="F20" s="357"/>
      <c r="G20" s="357"/>
      <c r="H20" s="357"/>
    </row>
  </sheetData>
  <sheetProtection password="CC53" sheet="1" objects="1" scenarios="1"/>
  <mergeCells count="12">
    <mergeCell ref="A1:H1"/>
    <mergeCell ref="A2:H2"/>
    <mergeCell ref="A3:H3"/>
    <mergeCell ref="A4:H4"/>
    <mergeCell ref="A5:E5"/>
    <mergeCell ref="F5:H5"/>
    <mergeCell ref="A19:H19"/>
    <mergeCell ref="A6:A7"/>
    <mergeCell ref="B6:B7"/>
    <mergeCell ref="C6:C7"/>
    <mergeCell ref="D6:G6"/>
    <mergeCell ref="H6:H7"/>
  </mergeCells>
  <printOptions horizontalCentered="1" verticalCentered="1"/>
  <pageMargins left="0.6299212598425197" right="0.6299212598425197" top="1" bottom="1.3779527559055118" header="0" footer="1.062992125984252"/>
  <pageSetup fitToHeight="1" fitToWidth="1" horizontalDpi="300" verticalDpi="300" orientation="landscape" scale="91" r:id="rId2"/>
  <headerFooter alignWithMargins="0">
    <oddFooter>&amp;L&amp;8ARCHIVO:  MRN / &amp;FHOJA:  &amp;A&amp;R&amp;D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5"/>
  <sheetViews>
    <sheetView zoomScale="70" zoomScaleNormal="70" workbookViewId="0" topLeftCell="A1">
      <selection activeCell="A1" sqref="A1:U76"/>
    </sheetView>
  </sheetViews>
  <sheetFormatPr defaultColWidth="11.421875" defaultRowHeight="12.75"/>
  <cols>
    <col min="1" max="1" width="3.421875" style="0" customWidth="1"/>
    <col min="2" max="2" width="37.421875" style="0" customWidth="1"/>
    <col min="3" max="3" width="17.140625" style="0" customWidth="1"/>
    <col min="4" max="4" width="17.00390625" style="0" customWidth="1"/>
    <col min="5" max="5" width="14.7109375" style="0" customWidth="1"/>
    <col min="6" max="6" width="15.7109375" style="0" customWidth="1"/>
    <col min="7" max="7" width="14.421875" style="0" customWidth="1"/>
    <col min="8" max="8" width="15.7109375" style="0" customWidth="1"/>
    <col min="9" max="9" width="15.7109375" style="198" customWidth="1"/>
    <col min="10" max="10" width="16.57421875" style="198" customWidth="1"/>
    <col min="11" max="12" width="14.140625" style="198" customWidth="1"/>
    <col min="13" max="13" width="14.421875" style="198" customWidth="1"/>
    <col min="14" max="14" width="16.57421875" style="0" customWidth="1"/>
    <col min="15" max="15" width="14.140625" style="0" customWidth="1"/>
    <col min="16" max="16" width="13.421875" style="0" customWidth="1"/>
    <col min="17" max="17" width="15.140625" style="0" customWidth="1"/>
  </cols>
  <sheetData>
    <row r="1" spans="2:7" ht="21" customHeight="1" thickBot="1">
      <c r="B1" s="1031" t="s">
        <v>199</v>
      </c>
      <c r="C1" s="1031"/>
      <c r="D1" s="1031"/>
      <c r="E1" s="1031"/>
      <c r="F1" s="1031"/>
      <c r="G1" s="1031"/>
    </row>
    <row r="2" spans="2:6" ht="13.5" customHeight="1" thickBot="1">
      <c r="B2" s="1032" t="s">
        <v>0</v>
      </c>
      <c r="C2" s="1034" t="s">
        <v>1</v>
      </c>
      <c r="D2" s="913" t="s">
        <v>310</v>
      </c>
      <c r="E2" s="898" t="s">
        <v>77</v>
      </c>
      <c r="F2" s="914"/>
    </row>
    <row r="3" spans="2:13" ht="12.75">
      <c r="B3" s="1033"/>
      <c r="C3" s="1035"/>
      <c r="D3" s="567" t="s">
        <v>9</v>
      </c>
      <c r="E3" s="897"/>
      <c r="G3" s="198"/>
      <c r="H3" s="198"/>
      <c r="L3"/>
      <c r="M3"/>
    </row>
    <row r="4" spans="2:13" ht="12.75">
      <c r="B4" s="537" t="s">
        <v>3</v>
      </c>
      <c r="C4" s="560"/>
      <c r="D4" s="297"/>
      <c r="E4" s="191"/>
      <c r="G4" s="198"/>
      <c r="H4" s="198"/>
      <c r="L4"/>
      <c r="M4"/>
    </row>
    <row r="5" spans="2:13" ht="15">
      <c r="B5" s="538" t="s">
        <v>148</v>
      </c>
      <c r="C5" s="561">
        <f>(+'SALIDAS Y TRANSFORMACION'!E38+'SALIDAS Y TRANSFORMACION'!E39)/1000</f>
        <v>2539.207</v>
      </c>
      <c r="D5" s="292">
        <f>+'SALIDAS Y TRANSFORMACION'!D39+'SALIDAS Y TRANSFORMACION'!D38</f>
        <v>4</v>
      </c>
      <c r="E5" s="565">
        <f>+C5/D5</f>
        <v>634.80175</v>
      </c>
      <c r="F5" s="485"/>
      <c r="G5" s="296"/>
      <c r="H5" s="198"/>
      <c r="L5"/>
      <c r="M5"/>
    </row>
    <row r="6" spans="2:13" ht="15">
      <c r="B6" s="538" t="s">
        <v>149</v>
      </c>
      <c r="C6" s="561">
        <f>(+'SALIDAS Y TRANSFORMACION'!E40+'SALIDAS Y TRANSFORMACION'!E41+'SALIDAS Y TRANSFORMACION'!E42)/1000</f>
        <v>7767.087</v>
      </c>
      <c r="D6" s="292">
        <f>+'SALIDAS Y TRANSFORMACION'!D40+'SALIDAS Y TRANSFORMACION'!D41+'SALIDAS Y TRANSFORMACION'!D42</f>
        <v>14</v>
      </c>
      <c r="E6" s="565">
        <f>+C6/D6</f>
        <v>554.7919285714286</v>
      </c>
      <c r="G6" s="296"/>
      <c r="H6" s="198"/>
      <c r="L6"/>
      <c r="M6"/>
    </row>
    <row r="7" spans="2:13" ht="15">
      <c r="B7" s="538" t="s">
        <v>150</v>
      </c>
      <c r="C7" s="561">
        <f>(+'SALIDAS Y TRANSFORMACION'!E33+'SALIDAS Y TRANSFORMACION'!E34+'SALIDAS Y TRANSFORMACION'!E35)/1000</f>
        <v>1677.1</v>
      </c>
      <c r="D7" s="292">
        <f>+'SALIDAS Y TRANSFORMACION'!D33+'SALIDAS Y TRANSFORMACION'!D34+'SALIDAS Y TRANSFORMACION'!D35</f>
        <v>3</v>
      </c>
      <c r="E7" s="565">
        <f>+C7/D7</f>
        <v>559.0333333333333</v>
      </c>
      <c r="G7" s="296"/>
      <c r="H7" s="198"/>
      <c r="L7"/>
      <c r="M7"/>
    </row>
    <row r="8" spans="2:13" ht="15">
      <c r="B8" s="538" t="s">
        <v>151</v>
      </c>
      <c r="C8" s="561">
        <f>(+'SALIDAS Y TRANSFORMACION'!E32)/1000</f>
        <v>4931.205</v>
      </c>
      <c r="D8" s="292">
        <f>+'SALIDAS Y TRANSFORMACION'!D32</f>
        <v>4</v>
      </c>
      <c r="E8" s="565">
        <f>+C8/D8</f>
        <v>1232.80125</v>
      </c>
      <c r="G8" s="296"/>
      <c r="H8" s="198"/>
      <c r="L8"/>
      <c r="M8"/>
    </row>
    <row r="9" spans="2:13" ht="15">
      <c r="B9" s="538" t="s">
        <v>160</v>
      </c>
      <c r="C9" s="561"/>
      <c r="D9" s="292"/>
      <c r="E9" s="565"/>
      <c r="F9" s="160"/>
      <c r="G9" s="296"/>
      <c r="H9" s="198">
        <f>140*1.21</f>
        <v>169.4</v>
      </c>
      <c r="L9"/>
      <c r="M9"/>
    </row>
    <row r="10" spans="2:13" ht="15">
      <c r="B10" s="538" t="s">
        <v>161</v>
      </c>
      <c r="C10" s="561"/>
      <c r="D10" s="292"/>
      <c r="E10" s="565" t="s">
        <v>11</v>
      </c>
      <c r="G10" s="296"/>
      <c r="H10" s="198"/>
      <c r="L10"/>
      <c r="M10"/>
    </row>
    <row r="11" spans="2:13" ht="15">
      <c r="B11" s="538" t="s">
        <v>152</v>
      </c>
      <c r="C11" s="561">
        <f>(+'SALIDAS Y TRANSFORMACION'!E29)/1000</f>
        <v>3473.011</v>
      </c>
      <c r="D11" s="292">
        <f>+'SALIDAS Y TRANSFORMACION'!D29</f>
        <v>2</v>
      </c>
      <c r="E11" s="565">
        <f>+C11/D11</f>
        <v>1736.5055</v>
      </c>
      <c r="G11" s="296"/>
      <c r="H11" s="198">
        <f>130*1.21</f>
        <v>157.29999999999998</v>
      </c>
      <c r="J11" s="298"/>
      <c r="K11" s="298"/>
      <c r="L11"/>
      <c r="M11"/>
    </row>
    <row r="12" spans="2:13" ht="15">
      <c r="B12" s="538" t="s">
        <v>271</v>
      </c>
      <c r="C12" s="561"/>
      <c r="D12" s="292"/>
      <c r="E12" s="565"/>
      <c r="G12" s="296"/>
      <c r="H12" s="198"/>
      <c r="J12" s="298"/>
      <c r="K12" s="298"/>
      <c r="L12"/>
      <c r="M12"/>
    </row>
    <row r="13" spans="2:13" ht="15">
      <c r="B13" s="538" t="s">
        <v>313</v>
      </c>
      <c r="C13" s="561"/>
      <c r="D13" s="292"/>
      <c r="E13" s="565"/>
      <c r="G13" s="296"/>
      <c r="H13" s="198"/>
      <c r="J13" s="298"/>
      <c r="K13" s="298"/>
      <c r="L13"/>
      <c r="M13"/>
    </row>
    <row r="14" spans="2:13" ht="15">
      <c r="B14" s="554" t="s">
        <v>4</v>
      </c>
      <c r="C14" s="561"/>
      <c r="D14" s="292"/>
      <c r="E14" s="565"/>
      <c r="G14" s="296"/>
      <c r="H14" s="198"/>
      <c r="J14" s="298"/>
      <c r="K14" s="298"/>
      <c r="L14"/>
      <c r="M14"/>
    </row>
    <row r="15" spans="2:13" ht="15">
      <c r="B15" s="555" t="str">
        <f>+B43</f>
        <v>CXTR Reductor 60/80/100 MVA</v>
      </c>
      <c r="C15" s="561">
        <v>0</v>
      </c>
      <c r="D15" s="292"/>
      <c r="E15" s="565"/>
      <c r="G15" s="296"/>
      <c r="H15" s="198"/>
      <c r="L15"/>
      <c r="M15"/>
    </row>
    <row r="16" spans="2:13" ht="15">
      <c r="B16" s="540" t="s">
        <v>5</v>
      </c>
      <c r="C16" s="561">
        <f>+'SALIDAS Y TRANSFORMACION'!E23/1000</f>
        <v>7460.677</v>
      </c>
      <c r="D16" s="564">
        <f>+'SALIDAS Y TRANSFORMACION'!D23</f>
        <v>140</v>
      </c>
      <c r="E16" s="565">
        <f>+C16/D16</f>
        <v>53.290549999999996</v>
      </c>
      <c r="G16" s="296"/>
      <c r="H16" s="198"/>
      <c r="L16"/>
      <c r="M16"/>
    </row>
    <row r="17" spans="2:13" ht="15">
      <c r="B17" s="540" t="s">
        <v>6</v>
      </c>
      <c r="C17" s="561">
        <f>+'SALIDAS Y TRANSFORMACION'!E24/1000</f>
        <v>5001.443</v>
      </c>
      <c r="D17" s="564">
        <f>+'SALIDAS Y TRANSFORMACION'!D24</f>
        <v>100</v>
      </c>
      <c r="E17" s="565">
        <f>+C17/D17</f>
        <v>50.014430000000004</v>
      </c>
      <c r="G17" s="296"/>
      <c r="H17" s="198"/>
      <c r="L17"/>
      <c r="M17"/>
    </row>
    <row r="18" spans="2:13" ht="15">
      <c r="B18" s="540" t="s">
        <v>7</v>
      </c>
      <c r="C18" s="561">
        <f>+'SALIDAS Y TRANSFORMACION'!E25/1000</f>
        <v>1768.618</v>
      </c>
      <c r="D18" s="564">
        <f>+'SALIDAS Y TRANSFORMACION'!D25</f>
        <v>24</v>
      </c>
      <c r="E18" s="565">
        <f>+C18/D18</f>
        <v>73.69241666666666</v>
      </c>
      <c r="G18" s="161"/>
      <c r="H18" s="198"/>
      <c r="L18"/>
      <c r="M18"/>
    </row>
    <row r="19" spans="2:13" ht="15">
      <c r="B19" s="540" t="s">
        <v>313</v>
      </c>
      <c r="C19" s="912"/>
      <c r="D19" s="564"/>
      <c r="E19" s="565"/>
      <c r="G19" s="161"/>
      <c r="H19" s="198"/>
      <c r="L19"/>
      <c r="M19"/>
    </row>
    <row r="20" spans="2:13" ht="15">
      <c r="B20" s="541" t="s">
        <v>8</v>
      </c>
      <c r="C20" s="562"/>
      <c r="D20" s="292"/>
      <c r="E20" s="565"/>
      <c r="G20" s="296"/>
      <c r="H20" s="198"/>
      <c r="L20"/>
      <c r="M20"/>
    </row>
    <row r="21" spans="2:13" ht="15">
      <c r="B21" s="542" t="s">
        <v>153</v>
      </c>
      <c r="C21" s="561">
        <f>+G75/1000</f>
        <v>4882.028</v>
      </c>
      <c r="D21" s="293">
        <f>+E75</f>
        <v>38.3</v>
      </c>
      <c r="E21" s="565">
        <f>+C21/D21</f>
        <v>127.46809399477809</v>
      </c>
      <c r="F21" s="208" t="s">
        <v>27</v>
      </c>
      <c r="G21" s="296"/>
      <c r="H21" s="198"/>
      <c r="L21"/>
      <c r="M21"/>
    </row>
    <row r="22" spans="2:13" ht="15">
      <c r="B22" s="542" t="s">
        <v>154</v>
      </c>
      <c r="C22" s="561">
        <v>192</v>
      </c>
      <c r="D22" s="293">
        <v>1</v>
      </c>
      <c r="E22" s="565">
        <f>+C22</f>
        <v>192</v>
      </c>
      <c r="F22" s="208" t="s">
        <v>28</v>
      </c>
      <c r="G22" s="296"/>
      <c r="H22" s="198"/>
      <c r="L22"/>
      <c r="M22"/>
    </row>
    <row r="23" spans="2:13" ht="15">
      <c r="B23" s="542" t="s">
        <v>155</v>
      </c>
      <c r="C23" s="561">
        <v>140</v>
      </c>
      <c r="D23" s="293">
        <v>1</v>
      </c>
      <c r="E23" s="565">
        <f>+C23</f>
        <v>140</v>
      </c>
      <c r="F23" s="208" t="s">
        <v>29</v>
      </c>
      <c r="G23" s="198"/>
      <c r="H23" s="198"/>
      <c r="L23"/>
      <c r="M23"/>
    </row>
    <row r="24" spans="2:13" ht="15">
      <c r="B24" s="542" t="s">
        <v>204</v>
      </c>
      <c r="C24" s="561">
        <v>213</v>
      </c>
      <c r="D24" s="293">
        <v>1</v>
      </c>
      <c r="E24" s="565">
        <f>+C24</f>
        <v>213</v>
      </c>
      <c r="F24" s="208" t="s">
        <v>241</v>
      </c>
      <c r="G24" s="198"/>
      <c r="H24" s="198"/>
      <c r="L24"/>
      <c r="M24"/>
    </row>
    <row r="25" spans="2:13" ht="15">
      <c r="B25" s="542" t="s">
        <v>208</v>
      </c>
      <c r="C25" s="561">
        <v>178</v>
      </c>
      <c r="D25" s="293">
        <v>1</v>
      </c>
      <c r="E25" s="565">
        <f>+C25</f>
        <v>178</v>
      </c>
      <c r="F25" s="208" t="s">
        <v>230</v>
      </c>
      <c r="G25" s="198"/>
      <c r="H25" s="198" t="s">
        <v>11</v>
      </c>
      <c r="L25"/>
      <c r="M25"/>
    </row>
    <row r="26" spans="2:13" ht="15.75" thickBot="1">
      <c r="B26" s="544" t="s">
        <v>163</v>
      </c>
      <c r="C26" s="563">
        <v>272</v>
      </c>
      <c r="D26" s="556">
        <v>1</v>
      </c>
      <c r="E26" s="566">
        <f>+C26</f>
        <v>272</v>
      </c>
      <c r="F26" s="208" t="s">
        <v>30</v>
      </c>
      <c r="G26" s="198"/>
      <c r="H26" s="311"/>
      <c r="L26"/>
      <c r="M26"/>
    </row>
    <row r="27" spans="2:13" ht="16.5" thickBot="1">
      <c r="B27" s="557" t="s">
        <v>168</v>
      </c>
      <c r="C27" s="558">
        <f>SUM(C5:C26)</f>
        <v>40495.376000000004</v>
      </c>
      <c r="D27" s="559">
        <f>SUM(D5:D26)</f>
        <v>334.3</v>
      </c>
      <c r="E27" s="187"/>
      <c r="F27" s="207"/>
      <c r="G27" s="198"/>
      <c r="H27" s="198"/>
      <c r="I27" s="311"/>
      <c r="L27"/>
      <c r="M27"/>
    </row>
    <row r="28" spans="3:13" s="133" customFormat="1" ht="16.5" thickBot="1">
      <c r="C28" s="187"/>
      <c r="D28" s="299"/>
      <c r="E28" s="187"/>
      <c r="F28" s="187"/>
      <c r="G28" s="187"/>
      <c r="H28" s="188"/>
      <c r="I28" s="198"/>
      <c r="J28" s="198"/>
      <c r="K28" s="198"/>
      <c r="L28" s="198"/>
      <c r="M28" s="198"/>
    </row>
    <row r="29" spans="2:17" s="133" customFormat="1" ht="16.5" thickBot="1">
      <c r="B29" s="32" t="s">
        <v>87</v>
      </c>
      <c r="C29" s="1026">
        <v>2013</v>
      </c>
      <c r="D29" s="1027"/>
      <c r="E29" s="1028"/>
      <c r="F29" s="1026">
        <v>2014</v>
      </c>
      <c r="G29" s="1027"/>
      <c r="H29" s="1028"/>
      <c r="I29" s="1026">
        <v>2015</v>
      </c>
      <c r="J29" s="1027"/>
      <c r="K29" s="1028"/>
      <c r="L29" s="1026">
        <v>2016</v>
      </c>
      <c r="M29" s="1027"/>
      <c r="N29" s="1028"/>
      <c r="O29" s="1026">
        <v>2017</v>
      </c>
      <c r="P29" s="1027"/>
      <c r="Q29" s="1028"/>
    </row>
    <row r="30" spans="2:17" s="133" customFormat="1" ht="15.75" thickBot="1">
      <c r="B30" s="1042" t="s">
        <v>0</v>
      </c>
      <c r="C30" s="1029" t="s">
        <v>311</v>
      </c>
      <c r="D30" s="899" t="s">
        <v>310</v>
      </c>
      <c r="E30" s="1029" t="s">
        <v>77</v>
      </c>
      <c r="F30" s="1029" t="s">
        <v>311</v>
      </c>
      <c r="G30" s="899" t="s">
        <v>310</v>
      </c>
      <c r="H30" s="1029" t="s">
        <v>77</v>
      </c>
      <c r="I30" s="1029" t="s">
        <v>311</v>
      </c>
      <c r="J30" s="899" t="s">
        <v>310</v>
      </c>
      <c r="K30" s="1029" t="s">
        <v>77</v>
      </c>
      <c r="L30" s="1029" t="s">
        <v>311</v>
      </c>
      <c r="M30" s="899" t="s">
        <v>310</v>
      </c>
      <c r="N30" s="1029" t="s">
        <v>77</v>
      </c>
      <c r="O30" s="1029" t="s">
        <v>311</v>
      </c>
      <c r="P30" s="899" t="s">
        <v>310</v>
      </c>
      <c r="Q30" s="1029" t="s">
        <v>77</v>
      </c>
    </row>
    <row r="31" spans="2:17" s="133" customFormat="1" ht="15.75" thickBot="1">
      <c r="B31" s="1043"/>
      <c r="C31" s="1030"/>
      <c r="D31" s="545" t="s">
        <v>9</v>
      </c>
      <c r="E31" s="1030"/>
      <c r="F31" s="1030"/>
      <c r="G31" s="545" t="s">
        <v>9</v>
      </c>
      <c r="H31" s="1030"/>
      <c r="I31" s="1030"/>
      <c r="J31" s="545" t="s">
        <v>9</v>
      </c>
      <c r="K31" s="1030"/>
      <c r="L31" s="1030"/>
      <c r="M31" s="545" t="s">
        <v>9</v>
      </c>
      <c r="N31" s="1030"/>
      <c r="O31" s="1030"/>
      <c r="P31" s="545" t="s">
        <v>9</v>
      </c>
      <c r="Q31" s="1030"/>
    </row>
    <row r="32" spans="2:17" s="133" customFormat="1" ht="15">
      <c r="B32" s="537" t="s">
        <v>3</v>
      </c>
      <c r="C32" s="546"/>
      <c r="D32" s="549"/>
      <c r="E32" s="546"/>
      <c r="F32" s="546"/>
      <c r="G32" s="549"/>
      <c r="H32" s="546"/>
      <c r="I32" s="546"/>
      <c r="J32" s="549"/>
      <c r="K32" s="546"/>
      <c r="L32" s="546"/>
      <c r="M32" s="549"/>
      <c r="N32" s="546"/>
      <c r="O32" s="546"/>
      <c r="P32" s="549"/>
      <c r="Q32" s="546"/>
    </row>
    <row r="33" spans="2:17" s="133" customFormat="1" ht="15">
      <c r="B33" s="538" t="s">
        <v>148</v>
      </c>
      <c r="C33" s="547"/>
      <c r="D33" s="550"/>
      <c r="E33" s="547"/>
      <c r="F33" s="547"/>
      <c r="G33" s="550"/>
      <c r="H33" s="547"/>
      <c r="I33" s="547"/>
      <c r="J33" s="550"/>
      <c r="K33" s="547"/>
      <c r="L33" s="547"/>
      <c r="M33" s="550"/>
      <c r="N33" s="547"/>
      <c r="O33" s="547"/>
      <c r="P33" s="550"/>
      <c r="Q33" s="547"/>
    </row>
    <row r="34" spans="2:17" s="133" customFormat="1" ht="15">
      <c r="B34" s="538" t="s">
        <v>149</v>
      </c>
      <c r="C34" s="547"/>
      <c r="D34" s="550"/>
      <c r="E34" s="547"/>
      <c r="F34" s="547"/>
      <c r="G34" s="550"/>
      <c r="H34" s="547"/>
      <c r="I34" s="547"/>
      <c r="J34" s="550"/>
      <c r="K34" s="547"/>
      <c r="L34" s="547"/>
      <c r="M34" s="550"/>
      <c r="N34" s="547"/>
      <c r="O34" s="547"/>
      <c r="P34" s="550"/>
      <c r="Q34" s="547"/>
    </row>
    <row r="35" spans="2:17" s="133" customFormat="1" ht="15">
      <c r="B35" s="538" t="s">
        <v>150</v>
      </c>
      <c r="C35" s="547"/>
      <c r="D35" s="550"/>
      <c r="E35" s="547"/>
      <c r="F35" s="547"/>
      <c r="G35" s="550"/>
      <c r="H35" s="547"/>
      <c r="I35" s="547"/>
      <c r="J35" s="550"/>
      <c r="K35" s="547"/>
      <c r="L35" s="547"/>
      <c r="M35" s="550"/>
      <c r="N35" s="547"/>
      <c r="O35" s="547"/>
      <c r="P35" s="550"/>
      <c r="Q35" s="547"/>
    </row>
    <row r="36" spans="2:17" s="133" customFormat="1" ht="15">
      <c r="B36" s="538" t="s">
        <v>151</v>
      </c>
      <c r="C36" s="547"/>
      <c r="D36" s="550"/>
      <c r="E36" s="547"/>
      <c r="F36" s="547"/>
      <c r="G36" s="550"/>
      <c r="H36" s="547"/>
      <c r="I36" s="547"/>
      <c r="J36" s="550"/>
      <c r="K36" s="547"/>
      <c r="L36" s="547"/>
      <c r="M36" s="550"/>
      <c r="N36" s="547"/>
      <c r="O36" s="547"/>
      <c r="P36" s="550"/>
      <c r="Q36" s="547"/>
    </row>
    <row r="37" spans="2:17" s="133" customFormat="1" ht="15">
      <c r="B37" s="538" t="s">
        <v>160</v>
      </c>
      <c r="C37" s="547"/>
      <c r="D37" s="550"/>
      <c r="E37" s="547"/>
      <c r="F37" s="547"/>
      <c r="G37" s="550"/>
      <c r="H37" s="547"/>
      <c r="I37" s="547"/>
      <c r="J37" s="550"/>
      <c r="K37" s="547"/>
      <c r="L37" s="547"/>
      <c r="M37" s="550"/>
      <c r="N37" s="547"/>
      <c r="O37" s="547"/>
      <c r="P37" s="550"/>
      <c r="Q37" s="547"/>
    </row>
    <row r="38" spans="2:17" s="133" customFormat="1" ht="15">
      <c r="B38" s="538" t="s">
        <v>161</v>
      </c>
      <c r="C38" s="547"/>
      <c r="D38" s="550"/>
      <c r="E38" s="547"/>
      <c r="F38" s="547"/>
      <c r="G38" s="550"/>
      <c r="H38" s="547"/>
      <c r="I38" s="547"/>
      <c r="J38" s="550"/>
      <c r="K38" s="547"/>
      <c r="L38" s="547"/>
      <c r="M38" s="550"/>
      <c r="N38" s="547"/>
      <c r="O38" s="547"/>
      <c r="P38" s="550"/>
      <c r="Q38" s="547"/>
    </row>
    <row r="39" spans="2:17" s="133" customFormat="1" ht="15">
      <c r="B39" s="538" t="s">
        <v>152</v>
      </c>
      <c r="C39" s="547"/>
      <c r="D39" s="550"/>
      <c r="E39" s="547"/>
      <c r="F39" s="547"/>
      <c r="G39" s="550"/>
      <c r="H39" s="547"/>
      <c r="I39" s="547"/>
      <c r="J39" s="550"/>
      <c r="K39" s="547"/>
      <c r="L39" s="547"/>
      <c r="M39" s="550"/>
      <c r="N39" s="547"/>
      <c r="O39" s="547"/>
      <c r="P39" s="550"/>
      <c r="Q39" s="547"/>
    </row>
    <row r="40" spans="2:17" s="133" customFormat="1" ht="15">
      <c r="B40" s="538" t="s">
        <v>270</v>
      </c>
      <c r="C40" s="547"/>
      <c r="D40" s="883"/>
      <c r="E40" s="547"/>
      <c r="F40" s="547">
        <f>+'SALIDAS Y TRANSFORMACION'!E47/1000*50%</f>
        <v>4790</v>
      </c>
      <c r="G40" s="883">
        <v>3</v>
      </c>
      <c r="H40" s="547">
        <f>+F40/G40</f>
        <v>1596.6666666666667</v>
      </c>
      <c r="I40" s="547">
        <f>+'SALIDAS Y TRANSFORMACION'!E47/1000*50%</f>
        <v>4790</v>
      </c>
      <c r="J40" s="883">
        <v>3</v>
      </c>
      <c r="K40" s="547">
        <f>+I40/J40</f>
        <v>1596.6666666666667</v>
      </c>
      <c r="L40" s="547"/>
      <c r="M40" s="883"/>
      <c r="N40" s="547"/>
      <c r="O40" s="547"/>
      <c r="P40" s="883"/>
      <c r="Q40" s="547"/>
    </row>
    <row r="41" spans="2:17" s="133" customFormat="1" ht="15">
      <c r="B41" s="962" t="s">
        <v>314</v>
      </c>
      <c r="C41" s="547"/>
      <c r="D41" s="883"/>
      <c r="E41" s="547"/>
      <c r="F41" s="547">
        <v>306</v>
      </c>
      <c r="G41" s="883">
        <v>1</v>
      </c>
      <c r="H41" s="547">
        <f>+F41/G41</f>
        <v>306</v>
      </c>
      <c r="I41" s="547">
        <f>1293-F41+439</f>
        <v>1426</v>
      </c>
      <c r="J41" s="883">
        <v>2</v>
      </c>
      <c r="K41" s="547">
        <f>+I41/J41</f>
        <v>713</v>
      </c>
      <c r="L41" s="547">
        <f>559-439+23</f>
        <v>143</v>
      </c>
      <c r="M41" s="883">
        <v>1</v>
      </c>
      <c r="N41" s="547">
        <f>+L41/M41</f>
        <v>143</v>
      </c>
      <c r="O41" s="547">
        <f>280-23</f>
        <v>257</v>
      </c>
      <c r="P41" s="883">
        <v>1</v>
      </c>
      <c r="Q41" s="547">
        <f>+O41/P41</f>
        <v>257</v>
      </c>
    </row>
    <row r="42" spans="2:17" s="133" customFormat="1" ht="15">
      <c r="B42" s="539" t="s">
        <v>4</v>
      </c>
      <c r="C42" s="547"/>
      <c r="D42" s="551"/>
      <c r="E42" s="547"/>
      <c r="F42" s="547"/>
      <c r="G42" s="551"/>
      <c r="H42" s="547"/>
      <c r="I42" s="547"/>
      <c r="J42" s="551"/>
      <c r="K42" s="547"/>
      <c r="L42" s="547"/>
      <c r="M42" s="551"/>
      <c r="N42" s="547"/>
      <c r="O42" s="547"/>
      <c r="P42" s="551"/>
      <c r="Q42" s="547"/>
    </row>
    <row r="43" spans="2:17" s="133" customFormat="1" ht="15">
      <c r="B43" s="540" t="s">
        <v>167</v>
      </c>
      <c r="C43" s="547">
        <v>4857</v>
      </c>
      <c r="D43" s="552">
        <f>+'SALIDAS Y TRANSFORMACION'!D48+'SALIDAS Y TRANSFORMACION'!D49</f>
        <v>200</v>
      </c>
      <c r="E43" s="547">
        <f>+C43/D43</f>
        <v>24.285</v>
      </c>
      <c r="F43" s="547">
        <f>8326-C43</f>
        <v>3469</v>
      </c>
      <c r="G43" s="552">
        <v>200</v>
      </c>
      <c r="H43" s="547">
        <f>+F43/G43</f>
        <v>17.345</v>
      </c>
      <c r="I43" s="547"/>
      <c r="J43" s="552"/>
      <c r="K43" s="547"/>
      <c r="L43" s="547"/>
      <c r="M43" s="552"/>
      <c r="N43" s="547"/>
      <c r="O43" s="547"/>
      <c r="P43" s="552"/>
      <c r="Q43" s="547"/>
    </row>
    <row r="44" spans="2:17" s="133" customFormat="1" ht="15">
      <c r="B44" s="540" t="s">
        <v>5</v>
      </c>
      <c r="C44" s="547"/>
      <c r="D44" s="550"/>
      <c r="E44" s="547"/>
      <c r="F44" s="547"/>
      <c r="G44" s="550"/>
      <c r="H44" s="547"/>
      <c r="I44" s="547"/>
      <c r="J44" s="550"/>
      <c r="K44" s="547"/>
      <c r="L44" s="547"/>
      <c r="M44" s="550"/>
      <c r="N44" s="547"/>
      <c r="O44" s="547"/>
      <c r="P44" s="550"/>
      <c r="Q44" s="547"/>
    </row>
    <row r="45" spans="2:17" s="133" customFormat="1" ht="15">
      <c r="B45" s="540" t="s">
        <v>6</v>
      </c>
      <c r="C45" s="547"/>
      <c r="D45" s="550"/>
      <c r="E45" s="547"/>
      <c r="F45" s="547"/>
      <c r="G45" s="550"/>
      <c r="H45" s="547"/>
      <c r="I45" s="547"/>
      <c r="J45" s="550"/>
      <c r="K45" s="547"/>
      <c r="L45" s="547"/>
      <c r="M45" s="550"/>
      <c r="N45" s="547"/>
      <c r="O45" s="547"/>
      <c r="P45" s="550"/>
      <c r="Q45" s="547"/>
    </row>
    <row r="46" spans="2:17" s="133" customFormat="1" ht="15">
      <c r="B46" s="540" t="s">
        <v>7</v>
      </c>
      <c r="C46" s="547"/>
      <c r="D46" s="550"/>
      <c r="E46" s="547"/>
      <c r="F46" s="547"/>
      <c r="G46" s="550"/>
      <c r="H46" s="547"/>
      <c r="I46" s="547"/>
      <c r="J46" s="550"/>
      <c r="K46" s="547"/>
      <c r="L46" s="547"/>
      <c r="M46" s="550"/>
      <c r="N46" s="547"/>
      <c r="O46" s="547"/>
      <c r="P46" s="550"/>
      <c r="Q46" s="547"/>
    </row>
    <row r="47" spans="2:17" s="133" customFormat="1" ht="15">
      <c r="B47" s="963" t="s">
        <v>314</v>
      </c>
      <c r="C47" s="547"/>
      <c r="D47" s="550"/>
      <c r="E47" s="547"/>
      <c r="F47" s="547"/>
      <c r="G47" s="550"/>
      <c r="H47" s="547"/>
      <c r="I47" s="910">
        <v>8312</v>
      </c>
      <c r="J47" s="547">
        <v>2</v>
      </c>
      <c r="K47" s="547">
        <f>+I47/J47</f>
        <v>4156</v>
      </c>
      <c r="L47" s="910"/>
      <c r="M47" s="547"/>
      <c r="N47" s="547"/>
      <c r="O47" s="910"/>
      <c r="P47" s="547"/>
      <c r="Q47" s="547"/>
    </row>
    <row r="48" spans="2:17" s="133" customFormat="1" ht="15">
      <c r="B48" s="541" t="s">
        <v>8</v>
      </c>
      <c r="C48" s="547"/>
      <c r="D48" s="550"/>
      <c r="E48" s="547"/>
      <c r="F48" s="547"/>
      <c r="G48" s="550"/>
      <c r="H48" s="547"/>
      <c r="I48" s="547"/>
      <c r="J48" s="550"/>
      <c r="K48" s="547"/>
      <c r="L48" s="547"/>
      <c r="M48" s="550"/>
      <c r="N48" s="547"/>
      <c r="O48" s="547"/>
      <c r="P48" s="550"/>
      <c r="Q48" s="547"/>
    </row>
    <row r="49" spans="2:17" s="133" customFormat="1" ht="15">
      <c r="B49" s="542" t="s">
        <v>153</v>
      </c>
      <c r="C49" s="547"/>
      <c r="D49" s="550"/>
      <c r="E49" s="547"/>
      <c r="F49" s="547"/>
      <c r="G49" s="550"/>
      <c r="H49" s="547"/>
      <c r="I49" s="547"/>
      <c r="J49" s="550"/>
      <c r="K49" s="547"/>
      <c r="L49" s="547"/>
      <c r="M49" s="550"/>
      <c r="N49" s="547"/>
      <c r="O49" s="547"/>
      <c r="P49" s="550"/>
      <c r="Q49" s="547"/>
    </row>
    <row r="50" spans="2:17" s="133" customFormat="1" ht="15">
      <c r="B50" s="542" t="s">
        <v>154</v>
      </c>
      <c r="C50" s="547"/>
      <c r="D50" s="550"/>
      <c r="E50" s="547"/>
      <c r="F50" s="547"/>
      <c r="G50" s="550"/>
      <c r="H50" s="547"/>
      <c r="I50" s="547"/>
      <c r="J50" s="550"/>
      <c r="K50" s="547"/>
      <c r="L50" s="547"/>
      <c r="M50" s="550"/>
      <c r="N50" s="547"/>
      <c r="O50" s="547"/>
      <c r="P50" s="550"/>
      <c r="Q50" s="547"/>
    </row>
    <row r="51" spans="2:17" s="133" customFormat="1" ht="15">
      <c r="B51" s="542" t="s">
        <v>155</v>
      </c>
      <c r="C51" s="547"/>
      <c r="D51" s="550"/>
      <c r="E51" s="547"/>
      <c r="F51" s="547"/>
      <c r="G51" s="550"/>
      <c r="H51" s="547"/>
      <c r="I51" s="547"/>
      <c r="J51" s="550"/>
      <c r="K51" s="547"/>
      <c r="L51" s="547"/>
      <c r="M51" s="550"/>
      <c r="N51" s="547"/>
      <c r="O51" s="547"/>
      <c r="P51" s="550"/>
      <c r="Q51" s="547"/>
    </row>
    <row r="52" spans="2:17" s="133" customFormat="1" ht="15">
      <c r="B52" s="543" t="s">
        <v>162</v>
      </c>
      <c r="C52" s="547"/>
      <c r="D52" s="550"/>
      <c r="E52" s="547"/>
      <c r="F52" s="547"/>
      <c r="G52" s="550"/>
      <c r="H52" s="547"/>
      <c r="I52" s="547"/>
      <c r="J52" s="550"/>
      <c r="K52" s="547"/>
      <c r="L52" s="547"/>
      <c r="M52" s="550"/>
      <c r="N52" s="547"/>
      <c r="O52" s="547"/>
      <c r="P52" s="550"/>
      <c r="Q52" s="547"/>
    </row>
    <row r="53" spans="2:17" s="133" customFormat="1" ht="15.75" thickBot="1">
      <c r="B53" s="544" t="s">
        <v>163</v>
      </c>
      <c r="C53" s="548"/>
      <c r="D53" s="553"/>
      <c r="E53" s="548"/>
      <c r="F53" s="548"/>
      <c r="G53" s="553"/>
      <c r="H53" s="548"/>
      <c r="I53" s="548"/>
      <c r="J53" s="553"/>
      <c r="K53" s="548"/>
      <c r="L53" s="548"/>
      <c r="M53" s="553"/>
      <c r="N53" s="548"/>
      <c r="O53" s="548"/>
      <c r="P53" s="553"/>
      <c r="Q53" s="548"/>
    </row>
    <row r="54" spans="3:15" ht="26.25" customHeight="1" thickBot="1">
      <c r="C54" s="536">
        <f>SUM(C33:C53)</f>
        <v>4857</v>
      </c>
      <c r="F54" s="536">
        <f>SUM(F33:F53)</f>
        <v>8565</v>
      </c>
      <c r="I54" s="536">
        <f>SUM(I33:I53)</f>
        <v>14528</v>
      </c>
      <c r="L54" s="536">
        <f>SUM(L33:L53)</f>
        <v>143</v>
      </c>
      <c r="O54" s="536">
        <f>SUM(O33:O53)</f>
        <v>257</v>
      </c>
    </row>
    <row r="56" spans="2:5" ht="12.75">
      <c r="B56" s="34" t="s">
        <v>26</v>
      </c>
      <c r="C56" s="194"/>
      <c r="E56" s="34" t="s">
        <v>239</v>
      </c>
    </row>
    <row r="57" spans="2:5" ht="12.75">
      <c r="B57" s="34" t="s">
        <v>237</v>
      </c>
      <c r="E57" s="34" t="s">
        <v>240</v>
      </c>
    </row>
    <row r="58" spans="2:8" ht="15.75">
      <c r="B58" s="34" t="s">
        <v>238</v>
      </c>
      <c r="E58" s="34" t="s">
        <v>242</v>
      </c>
      <c r="H58" s="137"/>
    </row>
    <row r="59" ht="12.75">
      <c r="E59" s="34" t="s">
        <v>11</v>
      </c>
    </row>
    <row r="62" ht="12.75">
      <c r="C62" s="878"/>
    </row>
    <row r="66" ht="13.5" thickBot="1">
      <c r="B66" s="525" t="s">
        <v>221</v>
      </c>
    </row>
    <row r="67" spans="2:8" ht="13.5" thickBot="1">
      <c r="B67" s="411"/>
      <c r="C67" s="412" t="s">
        <v>216</v>
      </c>
      <c r="D67" s="413"/>
      <c r="E67" s="1039" t="s">
        <v>217</v>
      </c>
      <c r="F67" s="1040"/>
      <c r="G67" s="1040"/>
      <c r="H67" s="1041"/>
    </row>
    <row r="68" spans="2:8" ht="26.25" thickBot="1">
      <c r="B68" s="199"/>
      <c r="C68" s="526" t="s">
        <v>176</v>
      </c>
      <c r="D68" s="527" t="s">
        <v>177</v>
      </c>
      <c r="E68" s="528" t="s">
        <v>178</v>
      </c>
      <c r="F68" s="529" t="s">
        <v>179</v>
      </c>
      <c r="G68" s="530" t="s">
        <v>44</v>
      </c>
      <c r="H68" s="526" t="s">
        <v>180</v>
      </c>
    </row>
    <row r="69" spans="2:8" ht="13.5" thickBot="1">
      <c r="B69" s="414"/>
      <c r="C69" s="415"/>
      <c r="D69" s="415"/>
      <c r="E69" s="415"/>
      <c r="F69" s="415"/>
      <c r="G69" s="415"/>
      <c r="H69" s="416"/>
    </row>
    <row r="70" spans="2:8" ht="13.5" thickBot="1">
      <c r="B70" s="1036" t="s">
        <v>218</v>
      </c>
      <c r="C70" s="1039" t="s">
        <v>219</v>
      </c>
      <c r="D70" s="1040"/>
      <c r="E70" s="1040"/>
      <c r="F70" s="1040"/>
      <c r="G70" s="1040"/>
      <c r="H70" s="1041"/>
    </row>
    <row r="71" spans="2:8" ht="25.5">
      <c r="B71" s="1037"/>
      <c r="C71" s="417" t="s">
        <v>40</v>
      </c>
      <c r="D71" s="418" t="s">
        <v>171</v>
      </c>
      <c r="E71" s="433">
        <v>5.8</v>
      </c>
      <c r="F71" s="430">
        <v>17</v>
      </c>
      <c r="G71" s="419">
        <v>739315</v>
      </c>
      <c r="H71" s="420">
        <v>107417.24137931035</v>
      </c>
    </row>
    <row r="72" spans="2:8" ht="25.5">
      <c r="B72" s="1037"/>
      <c r="C72" s="421" t="s">
        <v>41</v>
      </c>
      <c r="D72" s="422" t="s">
        <v>172</v>
      </c>
      <c r="E72" s="434">
        <v>2</v>
      </c>
      <c r="F72" s="431">
        <v>6</v>
      </c>
      <c r="G72" s="419">
        <v>254932</v>
      </c>
      <c r="H72" s="423">
        <v>107415</v>
      </c>
    </row>
    <row r="73" spans="2:8" ht="25.5">
      <c r="B73" s="1037"/>
      <c r="C73" s="421" t="s">
        <v>173</v>
      </c>
      <c r="D73" s="422" t="s">
        <v>174</v>
      </c>
      <c r="E73" s="434">
        <v>0.5</v>
      </c>
      <c r="F73" s="431">
        <v>2</v>
      </c>
      <c r="G73" s="419">
        <v>63736</v>
      </c>
      <c r="H73" s="423">
        <v>107420</v>
      </c>
    </row>
    <row r="74" spans="2:8" ht="26.25" thickBot="1">
      <c r="B74" s="1038"/>
      <c r="C74" s="424" t="s">
        <v>43</v>
      </c>
      <c r="D74" s="425" t="s">
        <v>175</v>
      </c>
      <c r="E74" s="435">
        <v>30</v>
      </c>
      <c r="F74" s="432">
        <v>80</v>
      </c>
      <c r="G74" s="426">
        <v>3824045</v>
      </c>
      <c r="H74" s="427">
        <v>107417.33333333333</v>
      </c>
    </row>
    <row r="75" spans="2:10" ht="35.25" customHeight="1" thickBot="1">
      <c r="B75" s="531"/>
      <c r="C75" s="532" t="s">
        <v>220</v>
      </c>
      <c r="D75" s="532"/>
      <c r="E75" s="533">
        <f>SUM(E71:E74)</f>
        <v>38.3</v>
      </c>
      <c r="F75" s="534"/>
      <c r="G75" s="534">
        <f>SUM(G71:G74)</f>
        <v>4882028</v>
      </c>
      <c r="H75" s="535">
        <f>+G75/E75</f>
        <v>127468.09399477807</v>
      </c>
      <c r="J75" s="198" t="s">
        <v>11</v>
      </c>
    </row>
    <row r="78" spans="2:8" ht="12.75">
      <c r="B78" s="314"/>
      <c r="C78" s="313"/>
      <c r="D78" s="28"/>
      <c r="E78" s="28"/>
      <c r="F78" s="319"/>
      <c r="G78" s="198"/>
      <c r="H78" s="319"/>
    </row>
    <row r="79" spans="2:8" ht="12.75">
      <c r="B79" s="314"/>
      <c r="C79" s="313"/>
      <c r="D79" s="28"/>
      <c r="E79" s="28"/>
      <c r="F79" s="319"/>
      <c r="G79" s="198"/>
      <c r="H79" s="28"/>
    </row>
    <row r="80" spans="2:8" ht="12.75">
      <c r="B80" s="314"/>
      <c r="C80" s="313"/>
      <c r="D80" s="28"/>
      <c r="E80" s="28"/>
      <c r="F80" s="96"/>
      <c r="G80" s="198"/>
      <c r="H80" s="28"/>
    </row>
    <row r="81" spans="2:8" ht="12.75">
      <c r="B81" s="314"/>
      <c r="C81" s="313"/>
      <c r="D81" s="28"/>
      <c r="E81" s="28"/>
      <c r="F81" s="28"/>
      <c r="G81" s="28"/>
      <c r="H81" s="28"/>
    </row>
    <row r="82" spans="2:8" ht="12.75">
      <c r="B82" s="314"/>
      <c r="C82" s="313"/>
      <c r="D82" s="28"/>
      <c r="E82" s="28"/>
      <c r="F82" s="28"/>
      <c r="G82" s="198"/>
      <c r="H82" s="28"/>
    </row>
    <row r="83" spans="2:8" ht="12.75">
      <c r="B83" s="314"/>
      <c r="C83" s="313"/>
      <c r="D83" s="28"/>
      <c r="E83" s="28"/>
      <c r="F83" s="28"/>
      <c r="G83" s="28"/>
      <c r="H83" s="28"/>
    </row>
    <row r="84" spans="2:8" ht="12.75">
      <c r="B84" s="312"/>
      <c r="C84" s="313"/>
      <c r="D84" s="28"/>
      <c r="E84" s="28"/>
      <c r="F84" s="28"/>
      <c r="G84" s="28"/>
      <c r="H84" s="28"/>
    </row>
    <row r="85" spans="2:8" ht="12.75">
      <c r="B85" s="314"/>
      <c r="C85" s="313"/>
      <c r="D85" s="28"/>
      <c r="E85" s="28"/>
      <c r="F85" s="28"/>
      <c r="G85" s="28"/>
      <c r="H85" s="28"/>
    </row>
    <row r="86" spans="2:8" ht="12.75">
      <c r="B86" s="314"/>
      <c r="C86" s="313"/>
      <c r="D86" s="28"/>
      <c r="E86" s="28"/>
      <c r="F86" s="28"/>
      <c r="G86" s="28"/>
      <c r="H86" s="28"/>
    </row>
    <row r="87" spans="2:8" ht="12.75">
      <c r="B87" s="28"/>
      <c r="C87" s="315"/>
      <c r="D87" s="28"/>
      <c r="E87" s="28"/>
      <c r="F87" s="28"/>
      <c r="G87" s="28"/>
      <c r="H87" s="28"/>
    </row>
    <row r="88" spans="1:8" ht="12.75">
      <c r="A88" s="138"/>
      <c r="B88" s="316"/>
      <c r="C88" s="316"/>
      <c r="D88" s="316"/>
      <c r="E88" s="316"/>
      <c r="F88" s="316"/>
      <c r="G88" s="316"/>
      <c r="H88" s="28"/>
    </row>
    <row r="89" spans="2:8" ht="12.75">
      <c r="B89" s="28"/>
      <c r="C89" s="28"/>
      <c r="D89" s="28"/>
      <c r="E89" s="28"/>
      <c r="F89" s="198"/>
      <c r="G89" s="198"/>
      <c r="H89" s="28"/>
    </row>
    <row r="90" spans="2:8" ht="12.75">
      <c r="B90" s="28"/>
      <c r="C90" s="28"/>
      <c r="D90" s="28"/>
      <c r="E90" s="28"/>
      <c r="F90" s="198"/>
      <c r="G90" s="198"/>
      <c r="H90" s="28"/>
    </row>
    <row r="91" spans="2:8" ht="12.75">
      <c r="B91" s="28"/>
      <c r="C91" s="28"/>
      <c r="D91" s="28"/>
      <c r="E91" s="28"/>
      <c r="F91" s="198"/>
      <c r="G91" s="198"/>
      <c r="H91" s="28"/>
    </row>
    <row r="92" spans="2:8" ht="12.75">
      <c r="B92" s="28"/>
      <c r="C92" s="28"/>
      <c r="D92" s="28"/>
      <c r="E92" s="28"/>
      <c r="F92" s="198"/>
      <c r="G92" s="198"/>
      <c r="H92" s="28"/>
    </row>
    <row r="93" spans="2:8" ht="12.75">
      <c r="B93" s="28"/>
      <c r="C93" s="28"/>
      <c r="D93" s="28"/>
      <c r="E93" s="28"/>
      <c r="F93" s="317"/>
      <c r="G93" s="198"/>
      <c r="H93" s="28"/>
    </row>
    <row r="94" spans="2:8" ht="12.75">
      <c r="B94" s="28"/>
      <c r="C94" s="28"/>
      <c r="D94" s="28"/>
      <c r="E94" s="28"/>
      <c r="F94" s="28"/>
      <c r="G94" s="28"/>
      <c r="H94" s="28"/>
    </row>
    <row r="95" spans="2:8" ht="12.75">
      <c r="B95" s="28"/>
      <c r="C95" s="28"/>
      <c r="D95" s="28"/>
      <c r="E95" s="28"/>
      <c r="F95" s="318"/>
      <c r="G95" s="28"/>
      <c r="H95" s="28"/>
    </row>
  </sheetData>
  <sheetProtection password="CC53" sheet="1" objects="1" scenarios="1"/>
  <mergeCells count="22">
    <mergeCell ref="B70:B74"/>
    <mergeCell ref="C70:H70"/>
    <mergeCell ref="B30:B31"/>
    <mergeCell ref="C30:C31"/>
    <mergeCell ref="E30:E31"/>
    <mergeCell ref="E67:H67"/>
    <mergeCell ref="F30:F31"/>
    <mergeCell ref="H30:H31"/>
    <mergeCell ref="O29:Q29"/>
    <mergeCell ref="O30:O31"/>
    <mergeCell ref="Q30:Q31"/>
    <mergeCell ref="B1:G1"/>
    <mergeCell ref="B2:B3"/>
    <mergeCell ref="C2:C3"/>
    <mergeCell ref="I30:I31"/>
    <mergeCell ref="K30:K31"/>
    <mergeCell ref="L30:L31"/>
    <mergeCell ref="N30:N31"/>
    <mergeCell ref="C29:E29"/>
    <mergeCell ref="F29:H29"/>
    <mergeCell ref="I29:K29"/>
    <mergeCell ref="L29:N29"/>
  </mergeCells>
  <printOptions horizontalCentered="1" verticalCentered="1"/>
  <pageMargins left="0.87" right="0.56" top="0.67" bottom="0.75" header="0" footer="0"/>
  <pageSetup horizontalDpi="600" verticalDpi="600" orientation="landscape" scale="70" r:id="rId1"/>
  <headerFooter alignWithMargins="0">
    <oddFooter>&amp;LARCHIVO: MRN/&amp;FHOJA: &amp;A&amp;R&amp;D</oddFooter>
  </headerFooter>
  <ignoredErrors>
    <ignoredError sqref="F21:F22 F26 F23:F2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K60"/>
  <sheetViews>
    <sheetView showGridLines="0" zoomScale="80" zoomScaleNormal="80" workbookViewId="0" topLeftCell="C1">
      <selection activeCell="G17" sqref="G17"/>
    </sheetView>
  </sheetViews>
  <sheetFormatPr defaultColWidth="11.421875" defaultRowHeight="12.75"/>
  <cols>
    <col min="1" max="1" width="2.8515625" style="143" customWidth="1"/>
    <col min="2" max="2" width="29.57421875" style="143" bestFit="1" customWidth="1"/>
    <col min="3" max="3" width="16.140625" style="143" customWidth="1"/>
    <col min="4" max="4" width="11.421875" style="143" customWidth="1"/>
    <col min="5" max="5" width="27.8515625" style="143" customWidth="1"/>
    <col min="6" max="6" width="22.00390625" style="143" customWidth="1"/>
    <col min="7" max="7" width="23.00390625" style="395" customWidth="1"/>
    <col min="8" max="8" width="21.28125" style="143" customWidth="1"/>
    <col min="9" max="9" width="14.00390625" style="96" bestFit="1" customWidth="1"/>
    <col min="10" max="10" width="11.421875" style="96" customWidth="1"/>
    <col min="11" max="11" width="13.00390625" style="96" bestFit="1" customWidth="1"/>
    <col min="12" max="16384" width="11.421875" style="143" customWidth="1"/>
  </cols>
  <sheetData>
    <row r="1" spans="2:7" ht="18">
      <c r="B1" s="1049" t="s">
        <v>13</v>
      </c>
      <c r="C1" s="1049"/>
      <c r="D1" s="1049"/>
      <c r="E1" s="1049"/>
      <c r="F1" s="1049"/>
      <c r="G1" s="162"/>
    </row>
    <row r="2" spans="2:6" ht="15.75">
      <c r="B2" s="1049" t="s">
        <v>156</v>
      </c>
      <c r="C2" s="1049"/>
      <c r="D2" s="1049"/>
      <c r="E2" s="1049"/>
      <c r="F2" s="1049"/>
    </row>
    <row r="3" spans="2:7" ht="12.75">
      <c r="B3" s="1054" t="s">
        <v>112</v>
      </c>
      <c r="C3" s="1054"/>
      <c r="D3" s="1054"/>
      <c r="E3" s="1054"/>
      <c r="F3" s="1054"/>
      <c r="G3" s="139"/>
    </row>
    <row r="4" spans="2:6" ht="13.5" thickBot="1">
      <c r="B4" s="1048" t="s">
        <v>117</v>
      </c>
      <c r="C4" s="1048"/>
      <c r="D4" s="1048"/>
      <c r="E4" s="1048"/>
      <c r="F4" s="1048"/>
    </row>
    <row r="5" spans="2:7" ht="34.9" customHeight="1" thickBot="1">
      <c r="B5" s="1052" t="s">
        <v>32</v>
      </c>
      <c r="C5" s="1050" t="s">
        <v>17</v>
      </c>
      <c r="D5" s="1051"/>
      <c r="E5" s="1046" t="s">
        <v>118</v>
      </c>
      <c r="F5" s="1047"/>
      <c r="G5" s="138"/>
    </row>
    <row r="6" spans="2:6" ht="13.5" thickBot="1">
      <c r="B6" s="1053"/>
      <c r="C6" s="568" t="s">
        <v>121</v>
      </c>
      <c r="D6" s="569" t="s">
        <v>75</v>
      </c>
      <c r="E6" s="569" t="s">
        <v>45</v>
      </c>
      <c r="F6" s="570" t="s">
        <v>46</v>
      </c>
    </row>
    <row r="7" spans="2:11" ht="12.75">
      <c r="B7" s="144" t="s">
        <v>47</v>
      </c>
      <c r="C7" s="145" t="s">
        <v>119</v>
      </c>
      <c r="D7" s="146">
        <f>+'VNR ASEP y Num. Inst.'!C4</f>
        <v>140</v>
      </c>
      <c r="E7" s="147">
        <f>+'VNR ASEP y Num. Inst.'!E4</f>
        <v>7460677</v>
      </c>
      <c r="F7" s="147">
        <f aca="true" t="shared" si="0" ref="F7:F19">E7/D7</f>
        <v>53290.55</v>
      </c>
      <c r="G7" s="358">
        <v>26</v>
      </c>
      <c r="H7" s="359"/>
      <c r="I7" s="360"/>
      <c r="J7" s="360"/>
      <c r="K7" s="360"/>
    </row>
    <row r="8" spans="2:11" ht="12.75">
      <c r="B8" s="148" t="s">
        <v>48</v>
      </c>
      <c r="C8" s="149" t="s">
        <v>120</v>
      </c>
      <c r="D8" s="150">
        <f>+'VNR ASEP y Num. Inst.'!C14</f>
        <v>4</v>
      </c>
      <c r="E8" s="151">
        <f>+'VNR ASEP y Num. Inst.'!E14</f>
        <v>4931205</v>
      </c>
      <c r="F8" s="151">
        <f t="shared" si="0"/>
        <v>1232801.25</v>
      </c>
      <c r="G8" s="396">
        <v>35</v>
      </c>
      <c r="H8" s="361">
        <v>10494231</v>
      </c>
      <c r="I8" s="362">
        <f>+E7+E8</f>
        <v>12391882</v>
      </c>
      <c r="J8" s="360"/>
      <c r="K8" s="360"/>
    </row>
    <row r="9" spans="2:11" ht="12.75">
      <c r="B9" s="148" t="s">
        <v>49</v>
      </c>
      <c r="C9" s="149" t="s">
        <v>120</v>
      </c>
      <c r="D9" s="150">
        <f>+'VNR ASEP y Num. Inst.'!C21</f>
        <v>2</v>
      </c>
      <c r="E9" s="151">
        <f>+'VNR ASEP y Num. Inst.'!E21</f>
        <v>831605</v>
      </c>
      <c r="F9" s="151">
        <f t="shared" si="0"/>
        <v>415802.5</v>
      </c>
      <c r="G9" s="396"/>
      <c r="H9" s="361">
        <v>10442596</v>
      </c>
      <c r="I9" s="360"/>
      <c r="J9" s="360"/>
      <c r="K9" s="360"/>
    </row>
    <row r="10" spans="2:11" ht="12.75">
      <c r="B10" s="148" t="s">
        <v>50</v>
      </c>
      <c r="C10" s="149" t="s">
        <v>120</v>
      </c>
      <c r="D10" s="150">
        <f>+'VNR ASEP y Num. Inst.'!C15</f>
        <v>1</v>
      </c>
      <c r="E10" s="151">
        <f>+'VNR ASEP y Num. Inst.'!E15</f>
        <v>909419</v>
      </c>
      <c r="F10" s="151">
        <f t="shared" si="0"/>
        <v>909419</v>
      </c>
      <c r="G10" s="396"/>
      <c r="H10" s="363">
        <f>+H9/H8</f>
        <v>0.9950796775866664</v>
      </c>
      <c r="I10" s="360"/>
      <c r="J10" s="360"/>
      <c r="K10" s="360"/>
    </row>
    <row r="11" spans="2:11" ht="12.75">
      <c r="B11" s="148" t="s">
        <v>51</v>
      </c>
      <c r="C11" s="149" t="s">
        <v>120</v>
      </c>
      <c r="D11" s="150">
        <f>+'VNR ASEP y Num. Inst.'!C23</f>
        <v>3</v>
      </c>
      <c r="E11" s="151">
        <f>+'VNR ASEP y Num. Inst.'!E23</f>
        <v>1633860</v>
      </c>
      <c r="F11" s="151">
        <f t="shared" si="0"/>
        <v>544620</v>
      </c>
      <c r="G11" s="396"/>
      <c r="H11" s="359"/>
      <c r="I11" s="360"/>
      <c r="J11" s="360"/>
      <c r="K11" s="360"/>
    </row>
    <row r="12" spans="2:11" ht="12.75">
      <c r="B12" s="148" t="s">
        <v>52</v>
      </c>
      <c r="C12" s="149" t="s">
        <v>120</v>
      </c>
      <c r="D12" s="150">
        <f>+'VNR ASEP y Num. Inst.'!C17</f>
        <v>1</v>
      </c>
      <c r="E12" s="151">
        <f>+'VNR ASEP y Num. Inst.'!E17</f>
        <v>241726</v>
      </c>
      <c r="F12" s="151">
        <f t="shared" si="0"/>
        <v>241726</v>
      </c>
      <c r="G12" s="396"/>
      <c r="H12" s="359"/>
      <c r="I12" s="360"/>
      <c r="J12" s="360"/>
      <c r="K12" s="360"/>
    </row>
    <row r="13" spans="2:11" ht="12.75">
      <c r="B13" s="148" t="s">
        <v>53</v>
      </c>
      <c r="C13" s="149" t="s">
        <v>119</v>
      </c>
      <c r="D13" s="150">
        <f>+'VNR ASEP y Num. Inst.'!C6</f>
        <v>24</v>
      </c>
      <c r="E13" s="151">
        <f>+'VNR ASEP y Num. Inst.'!E6</f>
        <v>1768618</v>
      </c>
      <c r="F13" s="151">
        <f t="shared" si="0"/>
        <v>73692.41666666667</v>
      </c>
      <c r="G13" s="397">
        <f>+E12+E13</f>
        <v>2010344</v>
      </c>
      <c r="H13" s="359"/>
      <c r="I13" s="360"/>
      <c r="J13" s="360"/>
      <c r="K13" s="360"/>
    </row>
    <row r="14" spans="2:11" ht="12.75">
      <c r="B14" s="148" t="s">
        <v>54</v>
      </c>
      <c r="C14" s="149" t="s">
        <v>120</v>
      </c>
      <c r="D14" s="150">
        <f>+'VNR ASEP y Num. Inst.'!C24</f>
        <v>5</v>
      </c>
      <c r="E14" s="151">
        <f>+'VNR ASEP y Num. Inst.'!E24</f>
        <v>2540442</v>
      </c>
      <c r="F14" s="151">
        <f t="shared" si="0"/>
        <v>508088.4</v>
      </c>
      <c r="G14" s="396"/>
      <c r="H14" s="364">
        <v>7191366</v>
      </c>
      <c r="I14" s="362">
        <f>+E16+E17</f>
        <v>8474454</v>
      </c>
      <c r="J14" s="360"/>
      <c r="K14" s="365">
        <v>4213422</v>
      </c>
    </row>
    <row r="15" spans="2:11" ht="12.75">
      <c r="B15" s="148" t="s">
        <v>55</v>
      </c>
      <c r="C15" s="149" t="s">
        <v>120</v>
      </c>
      <c r="D15" s="150">
        <f>+'VNR ASEP y Num. Inst.'!C25</f>
        <v>6</v>
      </c>
      <c r="E15" s="151">
        <f>+'VNR ASEP y Num. Inst.'!E25</f>
        <v>3592785</v>
      </c>
      <c r="F15" s="151">
        <f t="shared" si="0"/>
        <v>598797.5</v>
      </c>
      <c r="G15" s="397"/>
      <c r="H15" s="364">
        <v>7141394</v>
      </c>
      <c r="I15" s="360"/>
      <c r="J15" s="360"/>
      <c r="K15" s="365">
        <v>2927971.54</v>
      </c>
    </row>
    <row r="16" spans="2:11" ht="12.75">
      <c r="B16" s="148" t="s">
        <v>56</v>
      </c>
      <c r="C16" s="149" t="s">
        <v>120</v>
      </c>
      <c r="D16" s="150">
        <f>+'VNR ASEP y Num. Inst.'!C10</f>
        <v>2</v>
      </c>
      <c r="E16" s="151">
        <f>+'VNR ASEP y Num. Inst.'!E10</f>
        <v>3473011</v>
      </c>
      <c r="F16" s="151">
        <f t="shared" si="0"/>
        <v>1736505.5</v>
      </c>
      <c r="G16" s="397">
        <v>32</v>
      </c>
      <c r="H16" s="363">
        <f>+H15/H14</f>
        <v>0.9930511115690677</v>
      </c>
      <c r="I16" s="360"/>
      <c r="J16" s="360"/>
      <c r="K16" s="360"/>
    </row>
    <row r="17" spans="2:11" ht="12.75">
      <c r="B17" s="148" t="s">
        <v>57</v>
      </c>
      <c r="C17" s="149" t="s">
        <v>119</v>
      </c>
      <c r="D17" s="150">
        <f>+'VNR ASEP y Num. Inst.'!C5</f>
        <v>100</v>
      </c>
      <c r="E17" s="151">
        <f>+'VNR ASEP y Num. Inst.'!E5</f>
        <v>5001443</v>
      </c>
      <c r="F17" s="151">
        <f t="shared" si="0"/>
        <v>50014.43</v>
      </c>
      <c r="G17" s="396">
        <v>27</v>
      </c>
      <c r="H17" s="359"/>
      <c r="I17" s="362">
        <f>+E16+E17</f>
        <v>8474454</v>
      </c>
      <c r="J17" s="360"/>
      <c r="K17" s="360"/>
    </row>
    <row r="18" spans="2:11" ht="12.75">
      <c r="B18" s="148" t="s">
        <v>233</v>
      </c>
      <c r="C18" s="149" t="s">
        <v>120</v>
      </c>
      <c r="D18" s="150">
        <f>+'VNR ASEP y Num. Inst.'!C16</f>
        <v>1</v>
      </c>
      <c r="E18" s="151">
        <f>+'VNR ASEP y Num. Inst.'!E16</f>
        <v>525955</v>
      </c>
      <c r="F18" s="151">
        <f t="shared" si="0"/>
        <v>525955</v>
      </c>
      <c r="G18" s="396"/>
      <c r="H18" s="359"/>
      <c r="I18" s="362"/>
      <c r="J18" s="360"/>
      <c r="K18" s="360"/>
    </row>
    <row r="19" spans="2:11" ht="13.5" thickBot="1">
      <c r="B19" s="148" t="s">
        <v>164</v>
      </c>
      <c r="C19" s="149" t="s">
        <v>120</v>
      </c>
      <c r="D19" s="150">
        <f>+'VNR ASEP y Num. Inst.'!C22</f>
        <v>2</v>
      </c>
      <c r="E19" s="151">
        <f>+'VNR ASEP y Num. Inst.'!E22</f>
        <v>1707602</v>
      </c>
      <c r="F19" s="151">
        <f t="shared" si="0"/>
        <v>853801</v>
      </c>
      <c r="G19" s="396"/>
      <c r="H19" s="359"/>
      <c r="I19" s="360"/>
      <c r="J19" s="360"/>
      <c r="K19" s="360"/>
    </row>
    <row r="20" spans="2:11" ht="16.5" customHeight="1" thickBot="1">
      <c r="B20" s="1044" t="s">
        <v>127</v>
      </c>
      <c r="C20" s="1044"/>
      <c r="D20" s="1045"/>
      <c r="E20" s="571">
        <f>SUM(E7:E19)</f>
        <v>34618348</v>
      </c>
      <c r="F20" s="571">
        <f>SUM(F7:F19)</f>
        <v>7744513.546666666</v>
      </c>
      <c r="G20" s="398"/>
      <c r="H20" s="366" t="s">
        <v>11</v>
      </c>
      <c r="I20" s="360"/>
      <c r="J20" s="360"/>
      <c r="K20" s="360"/>
    </row>
    <row r="21" spans="6:11" ht="13.5" thickBot="1">
      <c r="F21" s="152"/>
      <c r="G21" s="396"/>
      <c r="H21" s="362" t="s">
        <v>11</v>
      </c>
      <c r="I21" s="360"/>
      <c r="J21" s="360"/>
      <c r="K21" s="360"/>
    </row>
    <row r="22" spans="2:8" ht="13.5" thickBot="1">
      <c r="B22" s="572" t="s">
        <v>58</v>
      </c>
      <c r="C22" s="573"/>
      <c r="D22" s="573" t="s">
        <v>2</v>
      </c>
      <c r="E22" s="574" t="s">
        <v>45</v>
      </c>
      <c r="F22" s="573" t="s">
        <v>59</v>
      </c>
      <c r="H22" s="36"/>
    </row>
    <row r="23" spans="2:8" ht="12.75">
      <c r="B23" s="144" t="str">
        <f>B7</f>
        <v>Llano Sánchez Transformador</v>
      </c>
      <c r="C23" s="154"/>
      <c r="D23" s="168">
        <f>+D7</f>
        <v>140</v>
      </c>
      <c r="E23" s="169">
        <f>+E7</f>
        <v>7460677</v>
      </c>
      <c r="F23" s="171">
        <f>E23/D23</f>
        <v>53290.55</v>
      </c>
      <c r="H23" s="163"/>
    </row>
    <row r="24" spans="2:8" ht="12.75">
      <c r="B24" s="148" t="str">
        <f>B17</f>
        <v>Chorrera Transformador</v>
      </c>
      <c r="C24" s="155"/>
      <c r="D24" s="180">
        <f>+D17</f>
        <v>100</v>
      </c>
      <c r="E24" s="181">
        <f>+E17</f>
        <v>5001443</v>
      </c>
      <c r="F24" s="176">
        <f>E24/D24</f>
        <v>50014.43</v>
      </c>
      <c r="H24" s="139"/>
    </row>
    <row r="25" spans="2:8" ht="13.5" thickBot="1">
      <c r="B25" s="153" t="s">
        <v>53</v>
      </c>
      <c r="C25" s="156"/>
      <c r="D25" s="189">
        <f>+D13</f>
        <v>24</v>
      </c>
      <c r="E25" s="170">
        <f>+E13</f>
        <v>1768618</v>
      </c>
      <c r="F25" s="172">
        <f>E25/D25</f>
        <v>73692.41666666667</v>
      </c>
      <c r="H25" s="164"/>
    </row>
    <row r="26" spans="2:8" ht="12.75">
      <c r="B26" s="96"/>
      <c r="C26" s="96"/>
      <c r="D26" s="96"/>
      <c r="E26" s="157"/>
      <c r="F26" s="157"/>
      <c r="H26" s="158"/>
    </row>
    <row r="27" spans="5:6" ht="13.5" thickBot="1">
      <c r="E27" s="159"/>
      <c r="F27" s="159"/>
    </row>
    <row r="28" spans="2:8" ht="13.5" thickBot="1">
      <c r="B28" s="575" t="s">
        <v>60</v>
      </c>
      <c r="C28" s="576"/>
      <c r="D28" s="575" t="s">
        <v>61</v>
      </c>
      <c r="E28" s="577" t="s">
        <v>45</v>
      </c>
      <c r="F28" s="575" t="s">
        <v>62</v>
      </c>
      <c r="G28" s="575" t="s">
        <v>63</v>
      </c>
      <c r="H28" s="575" t="s">
        <v>72</v>
      </c>
    </row>
    <row r="29" spans="2:8" ht="15" customHeight="1" thickBot="1">
      <c r="B29" s="324" t="str">
        <f>B16</f>
        <v>Chorrera 230</v>
      </c>
      <c r="C29" s="325"/>
      <c r="D29" s="326">
        <f>+D16</f>
        <v>2</v>
      </c>
      <c r="E29" s="327">
        <f>+E16</f>
        <v>3473011</v>
      </c>
      <c r="F29" s="328">
        <f>+E29/D29</f>
        <v>1736505.5</v>
      </c>
      <c r="G29" s="399" t="s">
        <v>64</v>
      </c>
      <c r="H29" s="324"/>
    </row>
    <row r="30" spans="5:6" ht="13.5" thickBot="1">
      <c r="E30" s="159"/>
      <c r="F30" s="159"/>
    </row>
    <row r="31" spans="2:8" ht="13.5" thickBot="1">
      <c r="B31" s="575" t="s">
        <v>65</v>
      </c>
      <c r="C31" s="575"/>
      <c r="D31" s="575" t="s">
        <v>61</v>
      </c>
      <c r="E31" s="575" t="s">
        <v>45</v>
      </c>
      <c r="F31" s="578" t="s">
        <v>62</v>
      </c>
      <c r="G31" s="575" t="s">
        <v>63</v>
      </c>
      <c r="H31" s="578" t="s">
        <v>72</v>
      </c>
    </row>
    <row r="32" spans="2:11" ht="12.75">
      <c r="B32" s="154" t="str">
        <f>B8</f>
        <v>Llano Sánchez 115</v>
      </c>
      <c r="C32" s="154"/>
      <c r="D32" s="168">
        <f>+D8</f>
        <v>4</v>
      </c>
      <c r="E32" s="171">
        <f>+E8</f>
        <v>4931205</v>
      </c>
      <c r="F32" s="330">
        <f>+E32/D32</f>
        <v>1232801.25</v>
      </c>
      <c r="G32" s="400" t="s">
        <v>66</v>
      </c>
      <c r="H32" s="167"/>
      <c r="K32" s="321"/>
    </row>
    <row r="33" spans="2:8" ht="12.75">
      <c r="B33" s="155" t="str">
        <f>B10</f>
        <v>Progreso 115</v>
      </c>
      <c r="C33" s="155"/>
      <c r="D33" s="180">
        <f>+D10</f>
        <v>1</v>
      </c>
      <c r="E33" s="176">
        <f>+E10</f>
        <v>909419</v>
      </c>
      <c r="F33" s="331">
        <f>+E33/D33</f>
        <v>909419</v>
      </c>
      <c r="G33" s="401" t="s">
        <v>67</v>
      </c>
      <c r="H33" s="166"/>
    </row>
    <row r="34" spans="2:8" ht="12.75">
      <c r="B34" s="388" t="s">
        <v>233</v>
      </c>
      <c r="C34" s="388"/>
      <c r="D34" s="389">
        <f>+D18</f>
        <v>1</v>
      </c>
      <c r="E34" s="390">
        <f>+E18</f>
        <v>525955</v>
      </c>
      <c r="F34" s="331">
        <f>+E34/D34</f>
        <v>525955</v>
      </c>
      <c r="G34" s="401" t="s">
        <v>67</v>
      </c>
      <c r="H34" s="391"/>
    </row>
    <row r="35" spans="2:8" ht="13.5" thickBot="1">
      <c r="B35" s="156" t="str">
        <f>B12</f>
        <v>Charco Azul 115</v>
      </c>
      <c r="C35" s="156"/>
      <c r="D35" s="189">
        <f>+D12</f>
        <v>1</v>
      </c>
      <c r="E35" s="172">
        <f>+E12</f>
        <v>241726</v>
      </c>
      <c r="F35" s="175">
        <f>+E35/D35</f>
        <v>241726</v>
      </c>
      <c r="G35" s="402" t="s">
        <v>68</v>
      </c>
      <c r="H35" s="165"/>
    </row>
    <row r="36" spans="5:6" ht="13.5" thickBot="1">
      <c r="E36" s="159"/>
      <c r="F36" s="159"/>
    </row>
    <row r="37" spans="2:8" ht="13.5" thickBot="1">
      <c r="B37" s="575" t="s">
        <v>69</v>
      </c>
      <c r="C37" s="575"/>
      <c r="D37" s="579" t="s">
        <v>61</v>
      </c>
      <c r="E37" s="580" t="s">
        <v>45</v>
      </c>
      <c r="F37" s="575" t="s">
        <v>62</v>
      </c>
      <c r="G37" s="576" t="s">
        <v>63</v>
      </c>
      <c r="H37" s="578" t="s">
        <v>72</v>
      </c>
    </row>
    <row r="38" spans="2:10" ht="12.75">
      <c r="B38" s="154" t="str">
        <f>B9</f>
        <v>Llano Sánchez  34.5</v>
      </c>
      <c r="C38" s="154"/>
      <c r="D38" s="173">
        <f>+D9</f>
        <v>2</v>
      </c>
      <c r="E38" s="300">
        <f>+E9</f>
        <v>831605</v>
      </c>
      <c r="F38" s="329">
        <f>+E38/D38</f>
        <v>415802.5</v>
      </c>
      <c r="G38" s="403" t="s">
        <v>165</v>
      </c>
      <c r="H38" s="154" t="s">
        <v>74</v>
      </c>
      <c r="J38" s="321"/>
    </row>
    <row r="39" spans="2:8" ht="12.75">
      <c r="B39" s="148" t="s">
        <v>164</v>
      </c>
      <c r="C39" s="191"/>
      <c r="D39" s="192">
        <f>+D19</f>
        <v>2</v>
      </c>
      <c r="E39" s="301">
        <f>+E19</f>
        <v>1707602</v>
      </c>
      <c r="F39" s="176">
        <f>+E39/D39</f>
        <v>853801</v>
      </c>
      <c r="G39" s="404" t="s">
        <v>165</v>
      </c>
      <c r="H39" s="191"/>
    </row>
    <row r="40" spans="2:8" ht="12.75">
      <c r="B40" s="155" t="str">
        <f>B11</f>
        <v>Progreso 34.5</v>
      </c>
      <c r="C40" s="155"/>
      <c r="D40" s="174">
        <f>+D11</f>
        <v>3</v>
      </c>
      <c r="E40" s="302">
        <f>+E11</f>
        <v>1633860</v>
      </c>
      <c r="F40" s="176">
        <f>+E40/D40</f>
        <v>544620</v>
      </c>
      <c r="G40" s="405" t="s">
        <v>70</v>
      </c>
      <c r="H40" s="155"/>
    </row>
    <row r="41" spans="2:8" ht="12.75">
      <c r="B41" s="155" t="str">
        <f>B14</f>
        <v>Mata de Nance 34.5</v>
      </c>
      <c r="C41" s="155"/>
      <c r="D41" s="174">
        <f>+D14</f>
        <v>5</v>
      </c>
      <c r="E41" s="302">
        <f>+E14</f>
        <v>2540442</v>
      </c>
      <c r="F41" s="176">
        <f>+E41/D41</f>
        <v>508088.4</v>
      </c>
      <c r="G41" s="405" t="s">
        <v>236</v>
      </c>
      <c r="H41" s="155"/>
    </row>
    <row r="42" spans="2:8" ht="13.5" thickBot="1">
      <c r="B42" s="156" t="str">
        <f>B15</f>
        <v>Chorrera 34.5</v>
      </c>
      <c r="C42" s="156"/>
      <c r="D42" s="177">
        <f>+D15</f>
        <v>6</v>
      </c>
      <c r="E42" s="303">
        <f>+E15</f>
        <v>3592785</v>
      </c>
      <c r="F42" s="172">
        <f>+E42/D42</f>
        <v>598797.5</v>
      </c>
      <c r="G42" s="406" t="s">
        <v>71</v>
      </c>
      <c r="H42" s="156"/>
    </row>
    <row r="43" spans="2:8" ht="16.5" thickBot="1">
      <c r="B43" s="96"/>
      <c r="C43" s="96"/>
      <c r="D43" s="307"/>
      <c r="E43" s="581">
        <f>SUM(E23:E42)</f>
        <v>34618348</v>
      </c>
      <c r="F43" s="190"/>
      <c r="G43" s="403"/>
      <c r="H43" s="96"/>
    </row>
    <row r="44" spans="2:8" ht="12.75">
      <c r="B44" s="96"/>
      <c r="C44" s="96"/>
      <c r="D44" s="96"/>
      <c r="E44" s="190"/>
      <c r="F44" s="190"/>
      <c r="G44" s="403"/>
      <c r="H44" s="96"/>
    </row>
    <row r="45" ht="13.5" thickBot="1">
      <c r="C45" s="141" t="s">
        <v>169</v>
      </c>
    </row>
    <row r="46" spans="2:8" ht="13.5" thickBot="1">
      <c r="B46" s="575" t="s">
        <v>60</v>
      </c>
      <c r="C46" s="575"/>
      <c r="D46" s="579" t="s">
        <v>61</v>
      </c>
      <c r="E46" s="582" t="s">
        <v>45</v>
      </c>
      <c r="F46" s="575" t="s">
        <v>62</v>
      </c>
      <c r="G46" s="575" t="s">
        <v>63</v>
      </c>
      <c r="H46" s="575" t="s">
        <v>72</v>
      </c>
    </row>
    <row r="47" spans="2:8" ht="12.75">
      <c r="B47" s="583" t="s">
        <v>267</v>
      </c>
      <c r="C47" s="154"/>
      <c r="D47" s="173">
        <v>3</v>
      </c>
      <c r="E47" s="171">
        <v>9580000</v>
      </c>
      <c r="F47" s="171">
        <f>+E47/D47</f>
        <v>3193333.3333333335</v>
      </c>
      <c r="G47" s="407" t="s">
        <v>70</v>
      </c>
      <c r="H47" s="167" t="s">
        <v>11</v>
      </c>
    </row>
    <row r="48" spans="2:8" ht="12.75">
      <c r="B48" s="584" t="s">
        <v>268</v>
      </c>
      <c r="C48" s="155"/>
      <c r="D48" s="174">
        <v>100</v>
      </c>
      <c r="E48" s="428">
        <v>4123000</v>
      </c>
      <c r="F48" s="176">
        <f>+E48/D48</f>
        <v>41230</v>
      </c>
      <c r="G48" s="407"/>
      <c r="H48" s="166"/>
    </row>
    <row r="49" spans="2:10" ht="12.75">
      <c r="B49" s="584" t="s">
        <v>269</v>
      </c>
      <c r="C49" s="155"/>
      <c r="D49" s="174">
        <v>100</v>
      </c>
      <c r="E49" s="176">
        <v>4203000</v>
      </c>
      <c r="F49" s="176">
        <f>+E49/D49</f>
        <v>42030</v>
      </c>
      <c r="G49" s="407"/>
      <c r="H49" s="166"/>
      <c r="J49" s="321"/>
    </row>
    <row r="50" spans="2:8" ht="13.5" thickBot="1">
      <c r="B50" s="585"/>
      <c r="C50" s="156"/>
      <c r="D50" s="177"/>
      <c r="E50" s="172"/>
      <c r="F50" s="172"/>
      <c r="G50" s="408"/>
      <c r="H50" s="165"/>
    </row>
    <row r="51" spans="4:7" s="96" customFormat="1" ht="13.5" thickBot="1">
      <c r="D51" s="193"/>
      <c r="E51" s="586">
        <f>SUM(E47:E50)</f>
        <v>17906000</v>
      </c>
      <c r="F51" s="209" t="s">
        <v>232</v>
      </c>
      <c r="G51" s="403"/>
    </row>
    <row r="53" spans="2:10" ht="18">
      <c r="B53" s="133"/>
      <c r="C53" s="133"/>
      <c r="D53" s="31"/>
      <c r="E53" s="31"/>
      <c r="F53" s="891"/>
      <c r="G53" s="409"/>
      <c r="H53" s="140"/>
      <c r="J53" s="879"/>
    </row>
    <row r="54" spans="2:8" ht="12.75">
      <c r="B54" s="133"/>
      <c r="C54" s="133"/>
      <c r="D54" s="892"/>
      <c r="E54" s="157"/>
      <c r="F54" s="96"/>
      <c r="G54" s="409"/>
      <c r="H54" s="140"/>
    </row>
    <row r="55" spans="2:8" ht="12.75">
      <c r="B55" s="133"/>
      <c r="C55" s="133"/>
      <c r="D55" s="892"/>
      <c r="E55" s="157"/>
      <c r="F55" s="31"/>
      <c r="G55" s="410"/>
      <c r="H55" s="133"/>
    </row>
    <row r="56" spans="2:8" ht="12.75">
      <c r="B56" s="133"/>
      <c r="C56" s="133"/>
      <c r="D56" s="893"/>
      <c r="E56" s="157"/>
      <c r="F56" s="31"/>
      <c r="G56" s="409"/>
      <c r="H56" s="133"/>
    </row>
    <row r="57" spans="4:6" ht="12.75">
      <c r="D57" s="96"/>
      <c r="E57" s="894"/>
      <c r="F57" s="96"/>
    </row>
    <row r="58" spans="2:6" ht="12.75">
      <c r="B58" s="143" t="s">
        <v>302</v>
      </c>
      <c r="D58" s="96"/>
      <c r="E58" s="96"/>
      <c r="F58" s="96"/>
    </row>
    <row r="59" spans="2:6" ht="12.75">
      <c r="B59" s="143" t="s">
        <v>303</v>
      </c>
      <c r="D59" s="96"/>
      <c r="E59" s="895"/>
      <c r="F59" s="96"/>
    </row>
    <row r="60" spans="4:6" ht="12.75">
      <c r="D60" s="96"/>
      <c r="E60" s="96"/>
      <c r="F60" s="96"/>
    </row>
  </sheetData>
  <sheetProtection password="CC53" sheet="1" objects="1" scenarios="1"/>
  <mergeCells count="8">
    <mergeCell ref="B20:D20"/>
    <mergeCell ref="E5:F5"/>
    <mergeCell ref="B4:F4"/>
    <mergeCell ref="B1:F1"/>
    <mergeCell ref="B2:F2"/>
    <mergeCell ref="C5:D5"/>
    <mergeCell ref="B5:B6"/>
    <mergeCell ref="B3:F3"/>
  </mergeCells>
  <printOptions horizontalCentered="1" verticalCentered="1"/>
  <pageMargins left="0.5905511811023623" right="0.4724409448818898" top="0.9055118110236221" bottom="1.141732283464567" header="0.5511811023622047" footer="0.4330708661417323"/>
  <pageSetup horizontalDpi="600" verticalDpi="600" orientation="landscape" scale="65" r:id="rId1"/>
  <headerFooter alignWithMargins="0">
    <oddHeader>&amp;C&amp;F</oddHeader>
    <oddFooter>&amp;LHOJA: &amp;A&amp;R&amp;D</oddFooter>
  </headerFooter>
  <ignoredErrors>
    <ignoredError sqref="D34:E4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6"/>
  <sheetViews>
    <sheetView showGridLines="0" zoomScale="80" zoomScaleNormal="80" workbookViewId="0" topLeftCell="A1">
      <selection activeCell="E7" sqref="E7"/>
    </sheetView>
  </sheetViews>
  <sheetFormatPr defaultColWidth="11.421875" defaultRowHeight="12.75"/>
  <cols>
    <col min="1" max="1" width="3.00390625" style="367" customWidth="1"/>
    <col min="2" max="2" width="43.8515625" style="367" customWidth="1"/>
    <col min="3" max="3" width="11.421875" style="367" customWidth="1"/>
    <col min="4" max="4" width="13.140625" style="367" bestFit="1" customWidth="1"/>
    <col min="5" max="5" width="11.57421875" style="367" bestFit="1" customWidth="1"/>
    <col min="6" max="6" width="15.57421875" style="367" customWidth="1"/>
    <col min="7" max="7" width="14.28125" style="367" customWidth="1"/>
    <col min="8" max="8" width="11.57421875" style="367" bestFit="1" customWidth="1"/>
    <col min="9" max="9" width="14.8515625" style="367" customWidth="1"/>
    <col min="10" max="10" width="19.00390625" style="367" customWidth="1"/>
    <col min="11" max="11" width="12.28125" style="367" bestFit="1" customWidth="1"/>
    <col min="12" max="16384" width="11.421875" style="367" customWidth="1"/>
  </cols>
  <sheetData>
    <row r="1" spans="2:11" ht="24" customHeight="1">
      <c r="B1" s="1055" t="s">
        <v>157</v>
      </c>
      <c r="C1" s="1055"/>
      <c r="D1" s="1055"/>
      <c r="E1" s="1055"/>
      <c r="F1" s="1055"/>
      <c r="G1" s="1055"/>
      <c r="H1" s="1055"/>
      <c r="I1" s="1055"/>
      <c r="J1" s="1055"/>
      <c r="K1" s="1055"/>
    </row>
    <row r="2" spans="2:11" ht="15">
      <c r="B2" s="1055" t="s">
        <v>158</v>
      </c>
      <c r="C2" s="1055"/>
      <c r="D2" s="1055"/>
      <c r="E2" s="1055"/>
      <c r="F2" s="1055"/>
      <c r="G2" s="1055"/>
      <c r="H2" s="1055"/>
      <c r="I2" s="1055"/>
      <c r="J2" s="1055"/>
      <c r="K2" s="1055"/>
    </row>
    <row r="3" spans="2:11" ht="15.75" thickBot="1">
      <c r="B3" s="1060" t="s">
        <v>31</v>
      </c>
      <c r="C3" s="1060"/>
      <c r="D3" s="1060"/>
      <c r="E3" s="1060"/>
      <c r="F3" s="1060"/>
      <c r="G3" s="1060"/>
      <c r="H3" s="1060"/>
      <c r="I3" s="1060"/>
      <c r="J3" s="1060"/>
      <c r="K3" s="1060"/>
    </row>
    <row r="4" spans="2:11" ht="12.75" customHeight="1">
      <c r="B4" s="1064" t="s">
        <v>32</v>
      </c>
      <c r="C4" s="1056" t="s">
        <v>9</v>
      </c>
      <c r="D4" s="1056" t="s">
        <v>33</v>
      </c>
      <c r="E4" s="1056" t="s">
        <v>34</v>
      </c>
      <c r="F4" s="1056" t="s">
        <v>35</v>
      </c>
      <c r="G4" s="1056" t="s">
        <v>36</v>
      </c>
      <c r="H4" s="1056" t="s">
        <v>37</v>
      </c>
      <c r="I4" s="1056" t="s">
        <v>166</v>
      </c>
      <c r="J4" s="1056" t="s">
        <v>170</v>
      </c>
      <c r="K4" s="1058" t="s">
        <v>38</v>
      </c>
    </row>
    <row r="5" spans="2:11" ht="15" thickBot="1">
      <c r="B5" s="1065"/>
      <c r="C5" s="1057"/>
      <c r="D5" s="1057"/>
      <c r="E5" s="1057"/>
      <c r="F5" s="1057"/>
      <c r="G5" s="1057"/>
      <c r="H5" s="1057"/>
      <c r="I5" s="1057"/>
      <c r="J5" s="1057"/>
      <c r="K5" s="1059">
        <f>SUM(D5:H5)</f>
        <v>0</v>
      </c>
    </row>
    <row r="6" spans="2:11" ht="15">
      <c r="B6" s="608" t="str">
        <f>+' VNR'!B4</f>
        <v>Salidas de Conexión</v>
      </c>
      <c r="C6" s="609"/>
      <c r="D6" s="609"/>
      <c r="E6" s="609"/>
      <c r="F6" s="609"/>
      <c r="G6" s="609"/>
      <c r="H6" s="609"/>
      <c r="I6" s="609"/>
      <c r="J6" s="609"/>
      <c r="K6" s="610"/>
    </row>
    <row r="7" spans="2:11" ht="15">
      <c r="B7" s="368" t="str">
        <f>+' VNR'!B5</f>
        <v>CXS34.5 Barra Sencilla</v>
      </c>
      <c r="C7" s="369" t="s">
        <v>39</v>
      </c>
      <c r="D7" s="369"/>
      <c r="E7" s="369">
        <f>+'SALIDAS Y TRANSFORMACION'!D38</f>
        <v>2</v>
      </c>
      <c r="F7" s="369"/>
      <c r="G7" s="369"/>
      <c r="H7" s="369"/>
      <c r="I7" s="369">
        <v>2</v>
      </c>
      <c r="J7" s="369"/>
      <c r="K7" s="370">
        <f>SUM(D7:I7)</f>
        <v>4</v>
      </c>
    </row>
    <row r="8" spans="2:11" ht="15">
      <c r="B8" s="368" t="str">
        <f>+' VNR'!B6</f>
        <v>CXS34.5 Interruptor y Medio</v>
      </c>
      <c r="C8" s="369" t="s">
        <v>39</v>
      </c>
      <c r="D8" s="369">
        <f>+'SALIDAS Y TRANSFORMACION'!D42</f>
        <v>6</v>
      </c>
      <c r="E8" s="369"/>
      <c r="F8" s="369">
        <f>+'SALIDAS Y TRANSFORMACION'!D41</f>
        <v>5</v>
      </c>
      <c r="G8" s="369">
        <f>+'SALIDAS Y TRANSFORMACION'!D40</f>
        <v>3</v>
      </c>
      <c r="H8" s="369"/>
      <c r="I8" s="369"/>
      <c r="J8" s="369"/>
      <c r="K8" s="370">
        <f>SUM(D8:I8)</f>
        <v>14</v>
      </c>
    </row>
    <row r="9" spans="2:11" ht="15">
      <c r="B9" s="368" t="str">
        <f>+' VNR'!B7</f>
        <v>CXS115 Barra Sencilla</v>
      </c>
      <c r="C9" s="369" t="s">
        <v>39</v>
      </c>
      <c r="D9" s="369"/>
      <c r="E9" s="369"/>
      <c r="F9" s="369"/>
      <c r="G9" s="369">
        <f>+'SALIDAS Y TRANSFORMACION'!D33</f>
        <v>1</v>
      </c>
      <c r="H9" s="369">
        <f>+'SALIDAS Y TRANSFORMACION'!D35</f>
        <v>1</v>
      </c>
      <c r="I9" s="369">
        <v>1</v>
      </c>
      <c r="J9" s="369"/>
      <c r="K9" s="370">
        <f>SUM(D9:I9)</f>
        <v>3</v>
      </c>
    </row>
    <row r="10" spans="2:11" ht="15">
      <c r="B10" s="368" t="str">
        <f>+' VNR'!B8</f>
        <v>CXS115 Interruptor y Medio</v>
      </c>
      <c r="C10" s="369" t="s">
        <v>39</v>
      </c>
      <c r="D10" s="369"/>
      <c r="E10" s="369">
        <f>+'SALIDAS Y TRANSFORMACION'!D32</f>
        <v>4</v>
      </c>
      <c r="F10" s="369"/>
      <c r="G10" s="369"/>
      <c r="H10" s="369"/>
      <c r="I10" s="369"/>
      <c r="J10" s="369"/>
      <c r="K10" s="370">
        <f>SUM(D10:I10)</f>
        <v>4</v>
      </c>
    </row>
    <row r="11" spans="2:11" s="372" customFormat="1" ht="15">
      <c r="B11" s="368" t="s">
        <v>160</v>
      </c>
      <c r="C11" s="369" t="s">
        <v>39</v>
      </c>
      <c r="D11" s="371"/>
      <c r="E11" s="371"/>
      <c r="F11" s="371"/>
      <c r="G11" s="371"/>
      <c r="H11" s="371"/>
      <c r="I11" s="371"/>
      <c r="J11" s="371"/>
      <c r="K11" s="370"/>
    </row>
    <row r="12" spans="2:11" ht="15">
      <c r="B12" s="368" t="s">
        <v>161</v>
      </c>
      <c r="C12" s="369" t="s">
        <v>39</v>
      </c>
      <c r="D12" s="369"/>
      <c r="E12" s="369"/>
      <c r="F12" s="369"/>
      <c r="G12" s="369"/>
      <c r="H12" s="369"/>
      <c r="I12" s="369"/>
      <c r="J12" s="369"/>
      <c r="K12" s="370"/>
    </row>
    <row r="13" spans="2:11" ht="15">
      <c r="B13" s="368" t="str">
        <f>+' VNR'!B11</f>
        <v>CXS230 Interruptor y Medio</v>
      </c>
      <c r="C13" s="369" t="s">
        <v>39</v>
      </c>
      <c r="D13" s="369">
        <f>+'SALIDAS Y TRANSFORMACION'!D29</f>
        <v>2</v>
      </c>
      <c r="E13" s="369"/>
      <c r="F13" s="369"/>
      <c r="G13" s="369"/>
      <c r="H13" s="369"/>
      <c r="I13" s="369"/>
      <c r="J13" s="369"/>
      <c r="K13" s="370">
        <f>SUM(D13:J13)</f>
        <v>2</v>
      </c>
    </row>
    <row r="14" spans="2:13" ht="15">
      <c r="B14" s="368" t="s">
        <v>271</v>
      </c>
      <c r="C14" s="369" t="s">
        <v>39</v>
      </c>
      <c r="D14" s="369"/>
      <c r="E14" s="369"/>
      <c r="F14" s="369"/>
      <c r="G14" s="369"/>
      <c r="H14" s="369"/>
      <c r="I14" s="369"/>
      <c r="J14" s="369">
        <v>3</v>
      </c>
      <c r="K14" s="370">
        <f>SUM(D14:J14)</f>
        <v>3</v>
      </c>
      <c r="M14" s="880"/>
    </row>
    <row r="15" spans="2:11" ht="15">
      <c r="B15" s="611" t="str">
        <f>+' VNR'!B14</f>
        <v>Transformadores</v>
      </c>
      <c r="C15" s="369"/>
      <c r="D15" s="369"/>
      <c r="E15" s="369"/>
      <c r="F15" s="369"/>
      <c r="G15" s="369"/>
      <c r="H15" s="369"/>
      <c r="I15" s="369"/>
      <c r="J15" s="369"/>
      <c r="K15" s="370"/>
    </row>
    <row r="16" spans="2:11" ht="15">
      <c r="B16" s="368" t="str">
        <f>+' VNR'!B43</f>
        <v>CXTR Reductor 60/80/100 MVA</v>
      </c>
      <c r="C16" s="369" t="s">
        <v>2</v>
      </c>
      <c r="D16" s="369">
        <v>100</v>
      </c>
      <c r="E16" s="369">
        <v>100</v>
      </c>
      <c r="F16" s="369"/>
      <c r="G16" s="369"/>
      <c r="H16" s="369"/>
      <c r="I16" s="369"/>
      <c r="J16" s="369"/>
      <c r="K16" s="370">
        <f>SUM(D16:I16)</f>
        <v>200</v>
      </c>
    </row>
    <row r="17" spans="2:11" ht="15">
      <c r="B17" s="368" t="str">
        <f>+' VNR'!B16</f>
        <v>CXTR Reductor 42/56/70 MVA</v>
      </c>
      <c r="C17" s="369" t="s">
        <v>2</v>
      </c>
      <c r="D17" s="369"/>
      <c r="E17" s="369">
        <v>140</v>
      </c>
      <c r="F17" s="369"/>
      <c r="G17" s="369"/>
      <c r="H17" s="369"/>
      <c r="I17" s="369"/>
      <c r="J17" s="369"/>
      <c r="K17" s="370">
        <f>SUM(D17:I17)</f>
        <v>140</v>
      </c>
    </row>
    <row r="18" spans="2:11" ht="15">
      <c r="B18" s="368" t="str">
        <f>+' VNR'!B17</f>
        <v>CXTR Reductor 30/40/50 MVA</v>
      </c>
      <c r="C18" s="369" t="s">
        <v>2</v>
      </c>
      <c r="D18" s="369">
        <v>100</v>
      </c>
      <c r="E18" s="369"/>
      <c r="F18" s="369"/>
      <c r="G18" s="369"/>
      <c r="H18" s="369"/>
      <c r="I18" s="369"/>
      <c r="J18" s="369"/>
      <c r="K18" s="370">
        <f>SUM(D18:I18)</f>
        <v>100</v>
      </c>
    </row>
    <row r="19" spans="2:11" ht="15.75" thickBot="1">
      <c r="B19" s="377" t="str">
        <f>+' VNR'!B18</f>
        <v>CXTR Reductor 20/24 MVA</v>
      </c>
      <c r="C19" s="378" t="s">
        <v>2</v>
      </c>
      <c r="D19" s="378"/>
      <c r="E19" s="378"/>
      <c r="F19" s="378"/>
      <c r="G19" s="378"/>
      <c r="H19" s="378">
        <f>+'SALIDAS Y TRANSFORMACION'!D25</f>
        <v>24</v>
      </c>
      <c r="I19" s="378"/>
      <c r="J19" s="378"/>
      <c r="K19" s="612">
        <f>SUM(D19:I19)</f>
        <v>24</v>
      </c>
    </row>
    <row r="20" spans="2:11" ht="30.75" thickBot="1">
      <c r="B20" s="613" t="s">
        <v>8</v>
      </c>
      <c r="C20" s="614"/>
      <c r="D20" s="615" t="s">
        <v>40</v>
      </c>
      <c r="E20" s="615" t="s">
        <v>41</v>
      </c>
      <c r="F20" s="615" t="s">
        <v>42</v>
      </c>
      <c r="G20" s="615" t="s">
        <v>43</v>
      </c>
      <c r="H20" s="615"/>
      <c r="I20" s="615"/>
      <c r="J20" s="615"/>
      <c r="K20" s="616" t="s">
        <v>38</v>
      </c>
    </row>
    <row r="21" spans="2:11" ht="15">
      <c r="B21" s="374" t="str">
        <f>+' VNR'!B21</f>
        <v>CXL 115 KV Circuito Sencillo</v>
      </c>
      <c r="C21" s="373" t="s">
        <v>10</v>
      </c>
      <c r="D21" s="375">
        <v>5.8</v>
      </c>
      <c r="E21" s="375">
        <v>2</v>
      </c>
      <c r="F21" s="375">
        <v>0.5</v>
      </c>
      <c r="G21" s="375">
        <v>30</v>
      </c>
      <c r="H21" s="375"/>
      <c r="I21" s="375"/>
      <c r="J21" s="375"/>
      <c r="K21" s="376">
        <f>SUM(D21:J21)</f>
        <v>38.3</v>
      </c>
    </row>
    <row r="22" spans="2:11" ht="15" thickBot="1">
      <c r="B22" s="377"/>
      <c r="C22" s="378"/>
      <c r="D22" s="378"/>
      <c r="E22" s="378"/>
      <c r="F22" s="378"/>
      <c r="G22" s="378"/>
      <c r="H22" s="378"/>
      <c r="I22" s="378"/>
      <c r="J22" s="378"/>
      <c r="K22" s="379"/>
    </row>
    <row r="23" spans="2:11" s="380" customFormat="1" ht="15">
      <c r="B23" s="1061"/>
      <c r="C23" s="1061"/>
      <c r="D23" s="1061"/>
      <c r="E23" s="1061"/>
      <c r="F23" s="1061"/>
      <c r="G23" s="1061"/>
      <c r="H23" s="1061"/>
      <c r="I23" s="1061"/>
      <c r="J23" s="1061"/>
      <c r="K23" s="1061"/>
    </row>
    <row r="24" spans="2:11" s="380" customFormat="1" ht="15">
      <c r="B24" s="1062"/>
      <c r="C24" s="381"/>
      <c r="D24" s="381"/>
      <c r="E24" s="381"/>
      <c r="F24" s="381"/>
      <c r="G24" s="381"/>
      <c r="H24" s="381"/>
      <c r="I24" s="1062"/>
      <c r="J24" s="381"/>
      <c r="K24" s="381"/>
    </row>
    <row r="25" spans="2:11" s="380" customFormat="1" ht="15">
      <c r="B25" s="1062"/>
      <c r="I25" s="1063"/>
      <c r="J25" s="382"/>
      <c r="K25" s="383"/>
    </row>
    <row r="26" spans="2:11" s="380" customFormat="1" ht="12.75">
      <c r="B26" s="384"/>
      <c r="C26" s="385"/>
      <c r="D26" s="384"/>
      <c r="E26" s="384"/>
      <c r="F26" s="384"/>
      <c r="G26" s="384"/>
      <c r="H26" s="384"/>
      <c r="I26" s="384"/>
      <c r="J26" s="384"/>
      <c r="K26" s="384"/>
    </row>
    <row r="27" spans="2:11" s="380" customFormat="1" ht="12.75">
      <c r="B27" s="384"/>
      <c r="C27" s="385"/>
      <c r="D27" s="384"/>
      <c r="E27" s="384"/>
      <c r="F27" s="384"/>
      <c r="G27" s="384"/>
      <c r="H27" s="384"/>
      <c r="I27" s="384"/>
      <c r="J27" s="384"/>
      <c r="K27" s="384"/>
    </row>
    <row r="28" spans="2:11" s="380" customFormat="1" ht="12.75">
      <c r="B28" s="384"/>
      <c r="C28" s="385"/>
      <c r="D28" s="384"/>
      <c r="E28" s="384"/>
      <c r="F28" s="384"/>
      <c r="G28" s="384"/>
      <c r="H28" s="384"/>
      <c r="I28" s="384"/>
      <c r="J28" s="384"/>
      <c r="K28" s="384"/>
    </row>
    <row r="29" spans="2:11" s="380" customFormat="1" ht="12.75">
      <c r="B29" s="384"/>
      <c r="C29" s="385"/>
      <c r="D29" s="384"/>
      <c r="E29" s="384"/>
      <c r="F29" s="384"/>
      <c r="G29" s="384"/>
      <c r="H29" s="384"/>
      <c r="I29" s="384"/>
      <c r="J29" s="384"/>
      <c r="K29" s="384"/>
    </row>
    <row r="30" spans="2:11" s="380" customFormat="1" ht="12.75">
      <c r="B30" s="384"/>
      <c r="C30" s="385"/>
      <c r="D30" s="384"/>
      <c r="E30" s="384"/>
      <c r="F30" s="384"/>
      <c r="G30" s="384"/>
      <c r="H30" s="384"/>
      <c r="I30" s="384"/>
      <c r="J30" s="384"/>
      <c r="K30" s="384"/>
    </row>
    <row r="31" spans="2:11" s="380" customFormat="1" ht="15">
      <c r="B31" s="383"/>
      <c r="C31" s="385"/>
      <c r="D31" s="383"/>
      <c r="E31" s="383"/>
      <c r="F31" s="383"/>
      <c r="G31" s="383"/>
      <c r="H31" s="383"/>
      <c r="I31" s="383"/>
      <c r="J31" s="383"/>
      <c r="K31" s="383"/>
    </row>
    <row r="32" s="380" customFormat="1" ht="12.75">
      <c r="D32" s="386"/>
    </row>
    <row r="33" s="380" customFormat="1" ht="12.75">
      <c r="D33" s="386"/>
    </row>
    <row r="34" s="380" customFormat="1" ht="12.75"/>
    <row r="35" spans="7:11" s="380" customFormat="1" ht="12.75">
      <c r="G35" s="387"/>
      <c r="K35" s="384"/>
    </row>
    <row r="36" s="380" customFormat="1" ht="12.75">
      <c r="K36" s="386"/>
    </row>
  </sheetData>
  <sheetProtection password="CC53" sheet="1" objects="1" scenarios="1"/>
  <mergeCells count="16">
    <mergeCell ref="B23:K23"/>
    <mergeCell ref="B24:B25"/>
    <mergeCell ref="I24:I25"/>
    <mergeCell ref="D4:D5"/>
    <mergeCell ref="E4:E5"/>
    <mergeCell ref="F4:F5"/>
    <mergeCell ref="G4:G5"/>
    <mergeCell ref="B4:B5"/>
    <mergeCell ref="C4:C5"/>
    <mergeCell ref="J4:J5"/>
    <mergeCell ref="I4:I5"/>
    <mergeCell ref="B1:K1"/>
    <mergeCell ref="B2:K2"/>
    <mergeCell ref="H4:H5"/>
    <mergeCell ref="K4:K5"/>
    <mergeCell ref="B3:K3"/>
  </mergeCells>
  <printOptions horizontalCentered="1" verticalCentered="1"/>
  <pageMargins left="0.5118110236220472" right="0.45" top="1" bottom="1" header="0" footer="0"/>
  <pageSetup fitToHeight="1" fitToWidth="1" horizontalDpi="600" verticalDpi="600" orientation="landscape" scale="81" r:id="rId1"/>
  <headerFooter alignWithMargins="0">
    <oddHeader>&amp;C&amp;F</oddHeader>
    <oddFooter>&amp;LHOJA: 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Cargos por Conexión</dc:title>
  <dc:subject>Cálculos Preliminares con IMP en Consulta</dc:subject>
  <dc:creator>Mrivera</dc:creator>
  <cp:keywords/>
  <dc:description>Información: VNR/Subetaciones: Luis Gomez: , VNRLíneas: Daniel Pereira&amp; Julio Ho; Calculos borrador: Ana Hernández; Revisión: Julio Ho</dc:description>
  <cp:lastModifiedBy>Rebeca Flores</cp:lastModifiedBy>
  <cp:lastPrinted>2013-09-27T13:09:43Z</cp:lastPrinted>
  <dcterms:created xsi:type="dcterms:W3CDTF">2005-04-08T15:43:16Z</dcterms:created>
  <dcterms:modified xsi:type="dcterms:W3CDTF">2013-10-09T16:21:27Z</dcterms:modified>
  <cp:category/>
  <cp:version/>
  <cp:contentType/>
  <cp:contentStatus/>
</cp:coreProperties>
</file>