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sepgob-my.sharepoint.com/personal/jennydl_asep_gob_pa/Documents/Documentos/D/Ente Regulador/Estudios tarifarios Distribución 2013/Resoluciones IMP finales FIRMADAS/EDECHI/"/>
    </mc:Choice>
  </mc:AlternateContent>
  <xr:revisionPtr revIDLastSave="0" documentId="8_{91AB20EC-2CCA-47C4-B85B-0FC6507BF4F2}" xr6:coauthVersionLast="47" xr6:coauthVersionMax="47" xr10:uidLastSave="{00000000-0000-0000-0000-000000000000}"/>
  <bookViews>
    <workbookView xWindow="-120" yWindow="-120" windowWidth="20730" windowHeight="11040" tabRatio="616" xr2:uid="{00000000-000D-0000-FFFF-FFFF00000000}"/>
  </bookViews>
  <sheets>
    <sheet name="IMP-RESUMEN" sheetId="7" r:id="rId1"/>
    <sheet name="IMPD" sheetId="2" r:id="rId2"/>
    <sheet name="IMPCO" sheetId="3" r:id="rId3"/>
    <sheet name="ALUMPU" sheetId="4" r:id="rId4"/>
    <sheet name="DEMANDA" sheetId="12" r:id="rId5"/>
    <sheet name="REGRESIONES" sheetId="17" r:id="rId6"/>
    <sheet name="INVERSIONES" sheetId="10" r:id="rId7"/>
    <sheet name="ACTIVOS" sheetId="8" r:id="rId8"/>
    <sheet name="PERDIDAS y OTROS" sheetId="11" r:id="rId9"/>
    <sheet name="RETORNO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2" l="1"/>
  <c r="F9" i="12"/>
  <c r="G9" i="12"/>
  <c r="H9" i="12"/>
  <c r="D9" i="12"/>
  <c r="E8" i="12"/>
  <c r="F8" i="12"/>
  <c r="G8" i="12"/>
  <c r="H8" i="12"/>
  <c r="E6" i="12"/>
  <c r="F6" i="12"/>
  <c r="G6" i="12"/>
  <c r="H6" i="12"/>
  <c r="D8" i="12"/>
  <c r="D6" i="12"/>
  <c r="E23" i="10"/>
  <c r="F23" i="10"/>
  <c r="G23" i="10"/>
  <c r="D23" i="10"/>
  <c r="V218" i="10"/>
  <c r="U218" i="10"/>
  <c r="T218" i="10"/>
  <c r="S218" i="10"/>
  <c r="R218" i="10"/>
  <c r="Q218" i="10"/>
  <c r="P218" i="10"/>
  <c r="O218" i="10"/>
  <c r="J218" i="10"/>
  <c r="V216" i="10"/>
  <c r="U216" i="10"/>
  <c r="T216" i="10"/>
  <c r="S216" i="10"/>
  <c r="R216" i="10"/>
  <c r="Q216" i="10"/>
  <c r="P216" i="10"/>
  <c r="O216" i="10"/>
  <c r="J216" i="10"/>
  <c r="V51" i="10"/>
  <c r="V219" i="10" s="1"/>
  <c r="U51" i="10"/>
  <c r="T51" i="10"/>
  <c r="S51" i="10"/>
  <c r="S219" i="10" s="1"/>
  <c r="R51" i="10"/>
  <c r="R219" i="10" s="1"/>
  <c r="Q51" i="10"/>
  <c r="Q219" i="10" s="1"/>
  <c r="P51" i="10"/>
  <c r="P219" i="10" s="1"/>
  <c r="O51" i="10"/>
  <c r="O219" i="10" s="1"/>
  <c r="J51" i="10"/>
  <c r="J219" i="10" s="1"/>
  <c r="U219" i="10" l="1"/>
  <c r="T219" i="10"/>
  <c r="D15" i="14"/>
  <c r="C15" i="14"/>
  <c r="D13" i="14"/>
  <c r="C13" i="14"/>
  <c r="C11" i="14"/>
  <c r="D10" i="14"/>
  <c r="C7" i="14"/>
  <c r="D7" i="14" s="1"/>
  <c r="D11" i="14" s="1"/>
  <c r="D16" i="14" s="1"/>
  <c r="C16" i="14" l="1"/>
  <c r="D17" i="14"/>
  <c r="D20" i="14" s="1"/>
  <c r="D19" i="14"/>
  <c r="C17" i="14"/>
  <c r="C20" i="14" s="1"/>
  <c r="C19" i="14"/>
  <c r="I9" i="12" l="1"/>
  <c r="I6" i="12"/>
  <c r="C13" i="7" l="1"/>
  <c r="P37" i="10" l="1"/>
  <c r="O37" i="10"/>
  <c r="N37" i="10"/>
  <c r="M37" i="10"/>
  <c r="L37" i="10"/>
  <c r="P24" i="10"/>
  <c r="O24" i="10"/>
  <c r="N24" i="10"/>
  <c r="M24" i="10"/>
  <c r="L24" i="10"/>
  <c r="M12" i="10"/>
  <c r="N12" i="10"/>
  <c r="O12" i="10"/>
  <c r="P12" i="10"/>
  <c r="L12" i="10"/>
  <c r="F21" i="10" l="1"/>
  <c r="E21" i="10"/>
  <c r="F31" i="10"/>
  <c r="D31" i="10"/>
  <c r="D21" i="10"/>
  <c r="G22" i="10"/>
  <c r="F22" i="10"/>
  <c r="E31" i="10"/>
  <c r="E22" i="10"/>
  <c r="H24" i="10"/>
  <c r="G21" i="10"/>
  <c r="D22" i="10"/>
  <c r="G31" i="10"/>
  <c r="H21" i="10" l="1"/>
  <c r="H22" i="10"/>
  <c r="G14" i="14"/>
  <c r="G85" i="17" l="1"/>
  <c r="G86" i="17" s="1"/>
  <c r="H9" i="11" s="1"/>
  <c r="G17" i="2" s="1"/>
  <c r="G19" i="2" s="1"/>
  <c r="F12" i="7" s="1"/>
  <c r="F85" i="17"/>
  <c r="F86" i="17" s="1"/>
  <c r="G9" i="11" s="1"/>
  <c r="F17" i="2" s="1"/>
  <c r="F19" i="2" s="1"/>
  <c r="E12" i="7" s="1"/>
  <c r="E85" i="17"/>
  <c r="E86" i="17" s="1"/>
  <c r="F9" i="11" s="1"/>
  <c r="D85" i="17"/>
  <c r="D86" i="17" s="1"/>
  <c r="E9" i="11" s="1"/>
  <c r="C85" i="17"/>
  <c r="C86" i="17" s="1"/>
  <c r="B85" i="17"/>
  <c r="B86" i="17" s="1"/>
  <c r="C44" i="17"/>
  <c r="D44" i="17" s="1"/>
  <c r="E44" i="17" s="1"/>
  <c r="F44" i="17" s="1"/>
  <c r="G44" i="17" s="1"/>
  <c r="G29" i="17"/>
  <c r="G59" i="17" s="1"/>
  <c r="G13" i="2" s="1"/>
  <c r="F29" i="17"/>
  <c r="F59" i="17" s="1"/>
  <c r="F13" i="2" s="1"/>
  <c r="E29" i="17"/>
  <c r="E59" i="17" s="1"/>
  <c r="E13" i="2" s="1"/>
  <c r="D29" i="17"/>
  <c r="D59" i="17" s="1"/>
  <c r="D13" i="2" s="1"/>
  <c r="C29" i="17"/>
  <c r="C59" i="17" s="1"/>
  <c r="B29" i="17"/>
  <c r="B59" i="17" s="1"/>
  <c r="G28" i="17"/>
  <c r="G58" i="17" s="1"/>
  <c r="G12" i="3" s="1"/>
  <c r="F28" i="17"/>
  <c r="F58" i="17" s="1"/>
  <c r="F12" i="3" s="1"/>
  <c r="E28" i="17"/>
  <c r="E58" i="17" s="1"/>
  <c r="E12" i="3" s="1"/>
  <c r="D28" i="17"/>
  <c r="D58" i="17" s="1"/>
  <c r="D12" i="3" s="1"/>
  <c r="C28" i="17"/>
  <c r="C58" i="17" s="1"/>
  <c r="B28" i="17"/>
  <c r="B58" i="17" s="1"/>
  <c r="G27" i="17"/>
  <c r="G57" i="17" s="1"/>
  <c r="F27" i="17"/>
  <c r="F57" i="17" s="1"/>
  <c r="E27" i="17"/>
  <c r="E57" i="17" s="1"/>
  <c r="D27" i="17"/>
  <c r="D57" i="17" s="1"/>
  <c r="C27" i="17"/>
  <c r="C57" i="17" s="1"/>
  <c r="B27" i="17"/>
  <c r="B57" i="17" s="1"/>
  <c r="G26" i="17"/>
  <c r="G56" i="17" s="1"/>
  <c r="F26" i="17"/>
  <c r="F56" i="17" s="1"/>
  <c r="E26" i="17"/>
  <c r="E56" i="17" s="1"/>
  <c r="D26" i="17"/>
  <c r="D56" i="17" s="1"/>
  <c r="C26" i="17"/>
  <c r="C56" i="17" s="1"/>
  <c r="B26" i="17"/>
  <c r="B56" i="17" s="1"/>
  <c r="G25" i="17"/>
  <c r="G55" i="17" s="1"/>
  <c r="F25" i="17"/>
  <c r="F55" i="17" s="1"/>
  <c r="E25" i="17"/>
  <c r="E55" i="17" s="1"/>
  <c r="D25" i="17"/>
  <c r="D55" i="17" s="1"/>
  <c r="C25" i="17"/>
  <c r="C55" i="17" s="1"/>
  <c r="B25" i="17"/>
  <c r="B55" i="17" s="1"/>
  <c r="C17" i="7"/>
  <c r="D17" i="7"/>
  <c r="E17" i="7"/>
  <c r="F17" i="7"/>
  <c r="D18" i="8"/>
  <c r="E12" i="10"/>
  <c r="F12" i="10"/>
  <c r="G12" i="10"/>
  <c r="D12" i="10"/>
  <c r="D13" i="8"/>
  <c r="F10" i="8"/>
  <c r="D10" i="12"/>
  <c r="E10" i="12"/>
  <c r="F10" i="12"/>
  <c r="G10" i="12"/>
  <c r="H10" i="12"/>
  <c r="E17" i="8"/>
  <c r="F17" i="8" s="1"/>
  <c r="E12" i="8"/>
  <c r="F12" i="8" s="1"/>
  <c r="E15" i="8"/>
  <c r="F15" i="8" s="1"/>
  <c r="E16" i="8"/>
  <c r="F16" i="8" s="1"/>
  <c r="E11" i="8"/>
  <c r="F11" i="8" s="1"/>
  <c r="D12" i="4"/>
  <c r="E13" i="11" s="1"/>
  <c r="E12" i="4"/>
  <c r="F13" i="11" s="1"/>
  <c r="F12" i="4"/>
  <c r="G13" i="11" s="1"/>
  <c r="G12" i="4"/>
  <c r="H13" i="11" s="1"/>
  <c r="H11" i="12"/>
  <c r="G11" i="12"/>
  <c r="F11" i="12"/>
  <c r="E11" i="12"/>
  <c r="D11" i="12"/>
  <c r="I8" i="12"/>
  <c r="I7" i="12"/>
  <c r="E17" i="2"/>
  <c r="E19" i="2" s="1"/>
  <c r="D12" i="7" s="1"/>
  <c r="D17" i="2"/>
  <c r="D19" i="2" s="1"/>
  <c r="C12" i="7" s="1"/>
  <c r="G12" i="8" l="1"/>
  <c r="G17" i="8" s="1"/>
  <c r="D10" i="4" s="1"/>
  <c r="G69" i="17"/>
  <c r="G11" i="10" s="1"/>
  <c r="B64" i="17"/>
  <c r="C69" i="17"/>
  <c r="D64" i="17"/>
  <c r="D12" i="2"/>
  <c r="E64" i="17"/>
  <c r="E12" i="2"/>
  <c r="B63" i="17"/>
  <c r="F64" i="17"/>
  <c r="F12" i="2"/>
  <c r="G64" i="17"/>
  <c r="G12" i="2"/>
  <c r="D69" i="17"/>
  <c r="D11" i="10" s="1"/>
  <c r="E69" i="17"/>
  <c r="E11" i="10" s="1"/>
  <c r="C64" i="17"/>
  <c r="H12" i="10"/>
  <c r="E18" i="7"/>
  <c r="D18" i="7"/>
  <c r="D29" i="7" s="1"/>
  <c r="F18" i="7"/>
  <c r="F29" i="7" s="1"/>
  <c r="C63" i="17"/>
  <c r="C68" i="17"/>
  <c r="G63" i="17"/>
  <c r="G68" i="17"/>
  <c r="G10" i="10" s="1"/>
  <c r="F68" i="17"/>
  <c r="F10" i="10" s="1"/>
  <c r="F63" i="17"/>
  <c r="E63" i="17"/>
  <c r="D63" i="17"/>
  <c r="F69" i="17"/>
  <c r="F11" i="10" s="1"/>
  <c r="E68" i="17"/>
  <c r="E10" i="10" s="1"/>
  <c r="D68" i="17"/>
  <c r="D10" i="10" s="1"/>
  <c r="C18" i="7"/>
  <c r="C29" i="7" s="1"/>
  <c r="F18" i="8"/>
  <c r="G13" i="14"/>
  <c r="F13" i="8"/>
  <c r="D65" i="17" l="1"/>
  <c r="C71" i="17"/>
  <c r="G65" i="17"/>
  <c r="D11" i="4"/>
  <c r="D14" i="4" s="1"/>
  <c r="H12" i="8"/>
  <c r="E11" i="4" s="1"/>
  <c r="B65" i="17"/>
  <c r="E65" i="17"/>
  <c r="E71" i="17"/>
  <c r="E14" i="10"/>
  <c r="C65" i="17"/>
  <c r="F65" i="17"/>
  <c r="G71" i="17"/>
  <c r="G14" i="10"/>
  <c r="D71" i="17"/>
  <c r="G10" i="8"/>
  <c r="G15" i="8" s="1"/>
  <c r="E25" i="7"/>
  <c r="E29" i="7"/>
  <c r="F25" i="7"/>
  <c r="D25" i="7"/>
  <c r="F71" i="17"/>
  <c r="F14" i="10"/>
  <c r="G11" i="8"/>
  <c r="G16" i="8" s="1"/>
  <c r="C11" i="7" l="1"/>
  <c r="H17" i="8"/>
  <c r="I12" i="8"/>
  <c r="F11" i="4" s="1"/>
  <c r="D10" i="2"/>
  <c r="D11" i="2"/>
  <c r="H10" i="8"/>
  <c r="E11" i="2" s="1"/>
  <c r="D14" i="10"/>
  <c r="H14" i="10" s="1"/>
  <c r="H10" i="10"/>
  <c r="D42" i="7"/>
  <c r="E10" i="4"/>
  <c r="E14" i="4" s="1"/>
  <c r="H11" i="8"/>
  <c r="H16" i="8" s="1"/>
  <c r="D11" i="3"/>
  <c r="H11" i="10"/>
  <c r="H15" i="8" l="1"/>
  <c r="I17" i="8"/>
  <c r="J17" i="8" s="1"/>
  <c r="G10" i="4" s="1"/>
  <c r="G14" i="4" s="1"/>
  <c r="J12" i="8"/>
  <c r="G11" i="4" s="1"/>
  <c r="D11" i="7"/>
  <c r="D24" i="7" s="1"/>
  <c r="D15" i="2"/>
  <c r="D21" i="2" s="1"/>
  <c r="I10" i="8"/>
  <c r="J10" i="8" s="1"/>
  <c r="D10" i="3"/>
  <c r="D14" i="3" s="1"/>
  <c r="C10" i="7" s="1"/>
  <c r="E11" i="3"/>
  <c r="I11" i="8"/>
  <c r="I16" i="8" s="1"/>
  <c r="F10" i="4" l="1"/>
  <c r="F14" i="4" s="1"/>
  <c r="E11" i="7" s="1"/>
  <c r="E24" i="7" s="1"/>
  <c r="I15" i="8"/>
  <c r="J15" i="8" s="1"/>
  <c r="F11" i="7"/>
  <c r="F24" i="7" s="1"/>
  <c r="E10" i="2"/>
  <c r="E15" i="2" s="1"/>
  <c r="E21" i="2" s="1"/>
  <c r="C9" i="7"/>
  <c r="C25" i="7" s="1"/>
  <c r="D40" i="7" s="1"/>
  <c r="F11" i="2"/>
  <c r="G11" i="2"/>
  <c r="F11" i="3"/>
  <c r="J11" i="8"/>
  <c r="G11" i="3" s="1"/>
  <c r="E10" i="3"/>
  <c r="E14" i="3" s="1"/>
  <c r="D10" i="7" s="1"/>
  <c r="D23" i="7" s="1"/>
  <c r="F10" i="2" l="1"/>
  <c r="F15" i="2" s="1"/>
  <c r="F21" i="2" s="1"/>
  <c r="J16" i="8"/>
  <c r="G10" i="3" s="1"/>
  <c r="G14" i="3" s="1"/>
  <c r="F10" i="7" s="1"/>
  <c r="F23" i="7" s="1"/>
  <c r="C15" i="7"/>
  <c r="C23" i="7"/>
  <c r="C24" i="7"/>
  <c r="D38" i="7" s="1"/>
  <c r="D9" i="7"/>
  <c r="D22" i="7" s="1"/>
  <c r="D27" i="7" s="1"/>
  <c r="C22" i="7"/>
  <c r="G10" i="2"/>
  <c r="G15" i="2" s="1"/>
  <c r="G21" i="2" s="1"/>
  <c r="F10" i="3"/>
  <c r="F14" i="3" s="1"/>
  <c r="E10" i="7" s="1"/>
  <c r="E23" i="7" s="1"/>
  <c r="C27" i="7" l="1"/>
  <c r="D15" i="7"/>
  <c r="F9" i="7"/>
  <c r="F15" i="7" s="1"/>
  <c r="E9" i="7"/>
  <c r="E22" i="7" s="1"/>
  <c r="D37" i="7"/>
  <c r="F22" i="7" l="1"/>
  <c r="F27" i="7" s="1"/>
  <c r="E15" i="7"/>
  <c r="E27" i="7"/>
  <c r="D36" i="7" l="1"/>
  <c r="D41" i="7" s="1"/>
  <c r="D43" i="7" l="1"/>
  <c r="D44" i="7"/>
  <c r="D3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Alvarez Guerrero</author>
  </authors>
  <commentList>
    <comment ref="A4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Mariana Alvarez Guerrero:</t>
        </r>
        <r>
          <rPr>
            <sz val="9"/>
            <color indexed="81"/>
            <rFont val="Tahoma"/>
            <family val="2"/>
          </rPr>
          <t xml:space="preserve">
Fuente: IMF
http://www.imf.org/external/data.htm</t>
        </r>
      </text>
    </comment>
  </commentList>
</comments>
</file>

<file path=xl/sharedStrings.xml><?xml version="1.0" encoding="utf-8"?>
<sst xmlns="http://schemas.openxmlformats.org/spreadsheetml/2006/main" count="1142" uniqueCount="484">
  <si>
    <t>%</t>
  </si>
  <si>
    <t>PD%</t>
  </si>
  <si>
    <t>IMPULSORES DE COSTOS</t>
  </si>
  <si>
    <t>Demanda Máxima</t>
  </si>
  <si>
    <t>MWH</t>
  </si>
  <si>
    <t>Clientes</t>
  </si>
  <si>
    <t>Rentabilidad sobre Activos</t>
  </si>
  <si>
    <t>Depreciación</t>
  </si>
  <si>
    <t>Operación y Mantenimiento</t>
  </si>
  <si>
    <t>Administración</t>
  </si>
  <si>
    <t>Pérdidas</t>
  </si>
  <si>
    <t>COMERCIALIZACIÓN</t>
  </si>
  <si>
    <t>ALUMBRADO PÚBLICO</t>
  </si>
  <si>
    <t>MWh</t>
  </si>
  <si>
    <t>IPPD</t>
  </si>
  <si>
    <t>COMERCIALIZACION</t>
  </si>
  <si>
    <t>IPCO</t>
  </si>
  <si>
    <t>ALUMPU</t>
  </si>
  <si>
    <t>IMPD</t>
  </si>
  <si>
    <t>IMPCO</t>
  </si>
  <si>
    <t>IMP</t>
  </si>
  <si>
    <t>ACTIVOS TARIFARIOS PERMITIDOS</t>
  </si>
  <si>
    <t>INVERSIONES</t>
  </si>
  <si>
    <t>TOTAL INVERSIONES</t>
  </si>
  <si>
    <t>DISTRIBUCIÓN</t>
  </si>
  <si>
    <t>COM</t>
  </si>
  <si>
    <t>WACC REAL ANTES. IMPUESTOS(%)</t>
  </si>
  <si>
    <t>TOTAL</t>
  </si>
  <si>
    <t>Nº clientes</t>
  </si>
  <si>
    <t>OMD</t>
  </si>
  <si>
    <t>AD</t>
  </si>
  <si>
    <t>AC</t>
  </si>
  <si>
    <t>ADM</t>
  </si>
  <si>
    <t>Constante</t>
  </si>
  <si>
    <t>OM</t>
  </si>
  <si>
    <t>BCDN * RR</t>
  </si>
  <si>
    <t>BCD * DEP%</t>
  </si>
  <si>
    <t>IPSD</t>
  </si>
  <si>
    <t>(PD%) * MWhD * CMM</t>
  </si>
  <si>
    <t>DEP%</t>
  </si>
  <si>
    <t>CMM</t>
  </si>
  <si>
    <t>Costo de la Energía en Mercado Mayorista</t>
  </si>
  <si>
    <t>BCNC * RR</t>
  </si>
  <si>
    <t>BCC * DEP%</t>
  </si>
  <si>
    <t>Comercialización</t>
  </si>
  <si>
    <t>ACTNalum * RR</t>
  </si>
  <si>
    <t>ACTalum * DEP%</t>
  </si>
  <si>
    <t>OMalum</t>
  </si>
  <si>
    <t>ID</t>
  </si>
  <si>
    <t>IC</t>
  </si>
  <si>
    <t>Distribución</t>
  </si>
  <si>
    <t>RETORNO SOBRE CAPITAL DISTRIBUCION</t>
  </si>
  <si>
    <t>BCD</t>
  </si>
  <si>
    <t>BCC</t>
  </si>
  <si>
    <t>Valor Neto Base Capital Distribución</t>
  </si>
  <si>
    <t>BCNC</t>
  </si>
  <si>
    <t>BCND</t>
  </si>
  <si>
    <t>BASE DE CAPITAL</t>
  </si>
  <si>
    <t>ACTalum</t>
  </si>
  <si>
    <t>ACTN alum</t>
  </si>
  <si>
    <t>Operación y Mantenimiento de AP</t>
  </si>
  <si>
    <t>O&amp;Malum</t>
  </si>
  <si>
    <t>IAP</t>
  </si>
  <si>
    <t>PERDIDAS Y OTROS DATOS</t>
  </si>
  <si>
    <t>UNIDADES</t>
  </si>
  <si>
    <t>EDECHI</t>
  </si>
  <si>
    <t>USD</t>
  </si>
  <si>
    <t>CREC.a.a.</t>
  </si>
  <si>
    <t>DEM/CLIENTE</t>
  </si>
  <si>
    <t>ENERGIA-AÑO/CLIENTE</t>
  </si>
  <si>
    <t>BASE</t>
  </si>
  <si>
    <t>TOTALES</t>
  </si>
  <si>
    <t>AJUSTE ACTNOREG</t>
  </si>
  <si>
    <t>Adim</t>
  </si>
  <si>
    <t>B. REFERENCIAL</t>
  </si>
  <si>
    <t>Factor de Descuento</t>
  </si>
  <si>
    <t>Factor de Descuento Aplicado</t>
  </si>
  <si>
    <t>PERDIDAS</t>
  </si>
  <si>
    <t>MW</t>
  </si>
  <si>
    <t>Miles de B.</t>
  </si>
  <si>
    <t>Alumbrado Público</t>
  </si>
  <si>
    <t>Concepto</t>
  </si>
  <si>
    <t>Valor</t>
  </si>
  <si>
    <t>Tasa Libre de Riesgo</t>
  </si>
  <si>
    <t>Beta Equity Panama</t>
  </si>
  <si>
    <t>Prima Riesgo Mercado</t>
  </si>
  <si>
    <t>Riesgo País</t>
  </si>
  <si>
    <t>Costo Capital Propio</t>
  </si>
  <si>
    <t>Tasa Endeudamiento antes de Impuesto</t>
  </si>
  <si>
    <t>Tasa Endeudamiento despues de Impuesto</t>
  </si>
  <si>
    <t>D/(D+E)</t>
  </si>
  <si>
    <t>E/(D+E)</t>
  </si>
  <si>
    <t>WACC Nominal despues de Impuestos</t>
  </si>
  <si>
    <t>WACC Nominal antes de Impuestos</t>
  </si>
  <si>
    <t>Tasa Inflación EUA Largo Plazo</t>
  </si>
  <si>
    <t>WACC Real despues de Impuestos</t>
  </si>
  <si>
    <t>WACC Real antes de Impuestos</t>
  </si>
  <si>
    <t>Cantidad de luminarias al 30/6</t>
  </si>
  <si>
    <t>Costo O&amp;M por luminaria [B/. /año]</t>
  </si>
  <si>
    <t>A. RESOLUCIÓN ASEP</t>
  </si>
  <si>
    <t>ACT.JUN10</t>
  </si>
  <si>
    <t>Depreciaciones Activos de Distribución</t>
  </si>
  <si>
    <t>Depreciaciones Activos de Comercialización</t>
  </si>
  <si>
    <t>Depreciaciones Activos de AP</t>
  </si>
  <si>
    <t>DETALLE</t>
  </si>
  <si>
    <t>Estas inversiones se agregan a las que resultan de las ecuaciones de eficiencia</t>
  </si>
  <si>
    <t>Inversiones totales en Alumbrado Público</t>
  </si>
  <si>
    <t>Total</t>
  </si>
  <si>
    <t>Nueva Subestación Cristobal  (115kV) en David</t>
  </si>
  <si>
    <t>Energía Facturada sin AP (MWh)</t>
  </si>
  <si>
    <t>IMP TOTAL</t>
  </si>
  <si>
    <t>Considerando Inversiones para Soterramiento</t>
  </si>
  <si>
    <t>SI</t>
  </si>
  <si>
    <t>NO</t>
  </si>
  <si>
    <t>INGRESO MÁXIMO PERMITIDO = IMP</t>
  </si>
  <si>
    <t>En miles de Balboas</t>
  </si>
  <si>
    <t>VALOR PRESENTE NETO - INGRESO MÁXIMO PERMITIDO</t>
  </si>
  <si>
    <t>SUB-TOTAL</t>
  </si>
  <si>
    <t>Miles de B/.</t>
  </si>
  <si>
    <t>(1) Las pérdidas estándar de energía se han fijado conforme a las ecuaciones de eficiencia, no obstante, el monto (en B/.) es un valor de referencia.</t>
  </si>
  <si>
    <t xml:space="preserve"> El mismo se revisa semestralmente, según varía el costo real de la energía.</t>
  </si>
  <si>
    <t>IMP (AÑO TARIFARIO) =</t>
  </si>
  <si>
    <t>IMP (AÑO TARIFARIO) SIN PÉRDIDAS =</t>
  </si>
  <si>
    <t>Miles de Balboas</t>
  </si>
  <si>
    <t>INGRESO MÁXIMO PERMITIDO POR DISTRIBUCIÓN = IMPD</t>
  </si>
  <si>
    <t>INGRESO MÁXIMO PERMITIDO POR COMERCIALIZACIÓN = IPCO</t>
  </si>
  <si>
    <t>INGRESO MÁXIMO PERMITIDO POR ALUMBRADO PÚBLICO = ALUMPU</t>
  </si>
  <si>
    <t xml:space="preserve">Pérdidas </t>
  </si>
  <si>
    <t>Balboas/MWh</t>
  </si>
  <si>
    <t>ENERGIA FACTURADA sin AP</t>
  </si>
  <si>
    <t>REGRESIONES CON DATOS DE LA FERC, AÑOS 2011-2012 - MODELO OLS MUESTRA COMPLETA</t>
  </si>
  <si>
    <t>1 - CAPEX y OPEX</t>
  </si>
  <si>
    <t xml:space="preserve">Variable </t>
  </si>
  <si>
    <t>Ln(DM)</t>
  </si>
  <si>
    <t>Ln(Cl) - Ln(DM/Cl)</t>
  </si>
  <si>
    <t>DATOS FÍSICOS EMPRESA</t>
  </si>
  <si>
    <t>Variable</t>
  </si>
  <si>
    <t>Unidad</t>
  </si>
  <si>
    <t>Base</t>
  </si>
  <si>
    <t>Proyección ENSA</t>
  </si>
  <si>
    <t>Jul 2012-Jun 2013</t>
  </si>
  <si>
    <t>Jul 2013-Jun 2014</t>
  </si>
  <si>
    <t>Jul 2014-Jun 2015</t>
  </si>
  <si>
    <t>Jul 2015-Jun 2016</t>
  </si>
  <si>
    <t>Jul 2016-Jun 2017</t>
  </si>
  <si>
    <t>Jul 2017-Jun 2018</t>
  </si>
  <si>
    <t>Demanda</t>
  </si>
  <si>
    <t xml:space="preserve">Energía Inyectada </t>
  </si>
  <si>
    <t>Cant.</t>
  </si>
  <si>
    <t>RESULTADOS CAPEX y OPEX</t>
  </si>
  <si>
    <t>En USD 2013 sin ajuste</t>
  </si>
  <si>
    <t>COSTO</t>
  </si>
  <si>
    <t>Factores de ajuste</t>
  </si>
  <si>
    <t>1) Componente Mano de Obra</t>
  </si>
  <si>
    <t>Costo laboral relativo</t>
  </si>
  <si>
    <t>Participación de la mano de obra en los costos totales</t>
  </si>
  <si>
    <t>2) Componente Materiales</t>
  </si>
  <si>
    <t>PPP</t>
  </si>
  <si>
    <t>% Nacional</t>
  </si>
  <si>
    <t>En USD 2013 con ajuste</t>
  </si>
  <si>
    <t>Activos totales</t>
  </si>
  <si>
    <t>OPEX Totales</t>
  </si>
  <si>
    <t>TOTEX (Costos Totales)</t>
  </si>
  <si>
    <t>Inversión Totales</t>
  </si>
  <si>
    <t>2 - PÉRDIDAS</t>
  </si>
  <si>
    <t>Ln(EF)</t>
  </si>
  <si>
    <t>RESULTADOS PÉRDIDAS</t>
  </si>
  <si>
    <t>ENSA</t>
  </si>
  <si>
    <t>Porcentaje</t>
  </si>
  <si>
    <t>PE_MWH</t>
  </si>
  <si>
    <t>PE_%</t>
  </si>
  <si>
    <t>JUL14 / JUN15</t>
  </si>
  <si>
    <t>JUL15 / JUN16</t>
  </si>
  <si>
    <t>JUL16 / JUN17</t>
  </si>
  <si>
    <t>JUL17 / JUN18</t>
  </si>
  <si>
    <t>JULIO/14-JUNIO/18</t>
  </si>
  <si>
    <t>INVERSION EN AT NO CONTEMPLADAS EN LAS ECUACIONES DE EFICIENCIA - Miles de Balboas</t>
  </si>
  <si>
    <t>Jul a Dic 2014</t>
  </si>
  <si>
    <t>Ene a Jun 2018</t>
  </si>
  <si>
    <t>-</t>
  </si>
  <si>
    <t>Línea AT MDN - San Cristóbal</t>
  </si>
  <si>
    <t>OTRAS INVERSIONES NO CONTEMPLADAS EN LAS ECUACIONES DE EFICIENCIA - Miles de Balboas</t>
  </si>
  <si>
    <t>Soterrado Ciudad de David ( Calle4º y Ave. 8 Este)</t>
  </si>
  <si>
    <t>Confiabilidad de plantas potabilizadoras</t>
  </si>
  <si>
    <t>Implantación de Medidores Inteligentes (Smart Metering)</t>
  </si>
  <si>
    <t>Itegración isla Colón al SIN</t>
  </si>
  <si>
    <t>Ampliación SE Cañazas</t>
  </si>
  <si>
    <t>Conversión a 13.2kV y a 34.5 kV</t>
  </si>
  <si>
    <t>INVERSIONES EN ALUMBRADO PÚBLICO - Miles de Balboas</t>
  </si>
  <si>
    <t xml:space="preserve">Crecimiento Vegetativo </t>
  </si>
  <si>
    <t>Interamericana San Pablo Viejo</t>
  </si>
  <si>
    <t xml:space="preserve">Interamericana Bagala </t>
  </si>
  <si>
    <t xml:space="preserve">Interamericana Boqueron Pedregal </t>
  </si>
  <si>
    <t>Interamericana Aserrío hasta elpuente del Río Jacú</t>
  </si>
  <si>
    <t>Carretera David-Boquete</t>
  </si>
  <si>
    <t>Carretera Concepción-Cerro Punta</t>
  </si>
  <si>
    <t>PROVINCIA</t>
  </si>
  <si>
    <t>DISTRITO</t>
  </si>
  <si>
    <t>CORREGIMIENTO</t>
  </si>
  <si>
    <t>POBLADO</t>
  </si>
  <si>
    <t># VIV</t>
  </si>
  <si>
    <t>Chiriquí</t>
  </si>
  <si>
    <t>Bugaba</t>
  </si>
  <si>
    <t>El Bongo</t>
  </si>
  <si>
    <t>Alanje</t>
  </si>
  <si>
    <t>La Cucua</t>
  </si>
  <si>
    <t>Bocas del Toro</t>
  </si>
  <si>
    <t>Changuinola</t>
  </si>
  <si>
    <t>Almirante</t>
  </si>
  <si>
    <t>David</t>
  </si>
  <si>
    <t>San Pablo Nuevo</t>
  </si>
  <si>
    <t>Nuevo Coquito</t>
  </si>
  <si>
    <t>Cochea</t>
  </si>
  <si>
    <t>El Higo de Cochea</t>
  </si>
  <si>
    <t>Guarumal</t>
  </si>
  <si>
    <t>La Martina (Apro)</t>
  </si>
  <si>
    <t>Boquerón</t>
  </si>
  <si>
    <t>Bágala</t>
  </si>
  <si>
    <t>Sector los Villarreal</t>
  </si>
  <si>
    <t>Renacimiento</t>
  </si>
  <si>
    <t>Monte Lirio</t>
  </si>
  <si>
    <t>Milla 3 (4 de abril)</t>
  </si>
  <si>
    <t>Alto de Jacu</t>
  </si>
  <si>
    <t>Las Tablas</t>
  </si>
  <si>
    <t>Puente Blanco</t>
  </si>
  <si>
    <t>Palmarito Sect. Los Pitti</t>
  </si>
  <si>
    <t>Gomez</t>
  </si>
  <si>
    <t>San Miguel Exquisito</t>
  </si>
  <si>
    <t>San Antonio Arriba</t>
  </si>
  <si>
    <t>Distribución (SE AT)</t>
  </si>
  <si>
    <t>Otras Inversiones</t>
  </si>
  <si>
    <t>Electrificación Rural</t>
  </si>
  <si>
    <t>INVERSIONES NO CONTEMPLADAS EN LAS ECUACIONES DE EFICIENCIA</t>
  </si>
  <si>
    <t>Energía Facturada (sin/AP)</t>
  </si>
  <si>
    <t>INVNE</t>
  </si>
  <si>
    <t>Energía ingresada al sistema</t>
  </si>
  <si>
    <t>Valor Bruto Activos Fijos Alumbrado Público</t>
  </si>
  <si>
    <t>Valor Bruto Base de Capital Distribución</t>
  </si>
  <si>
    <t>Valor Neto Base Capital Comercialización</t>
  </si>
  <si>
    <t>Valor Neto Activos Fijos Alumbrado Público</t>
  </si>
  <si>
    <t>Valor Bruto Base de Capital Comercialización</t>
  </si>
  <si>
    <t>PROYECTOS - ELECTRIFICACIÓN RURAL</t>
  </si>
  <si>
    <t>Nuevo Paraiso</t>
  </si>
  <si>
    <t xml:space="preserve">Puente Negro </t>
  </si>
  <si>
    <t>Boca del Drago</t>
  </si>
  <si>
    <t>Barranco afuera</t>
  </si>
  <si>
    <t>La Gloria</t>
  </si>
  <si>
    <t>Punta Peña</t>
  </si>
  <si>
    <t>Punta Peña II</t>
  </si>
  <si>
    <t>Chiriquí Grande</t>
  </si>
  <si>
    <t>Punta Peña Arriba</t>
  </si>
  <si>
    <t>Valle arriba III</t>
  </si>
  <si>
    <t xml:space="preserve">Malí </t>
  </si>
  <si>
    <t>Divala</t>
  </si>
  <si>
    <t>Las Mercedes  2</t>
  </si>
  <si>
    <t>Las Mercedes 1</t>
  </si>
  <si>
    <t>Manchuila (Sector Alto de Divala)</t>
  </si>
  <si>
    <t>El Puerto</t>
  </si>
  <si>
    <t>La Pita</t>
  </si>
  <si>
    <t>Barriada El tigre</t>
  </si>
  <si>
    <t>Nuevo México</t>
  </si>
  <si>
    <t>Barro Blanco</t>
  </si>
  <si>
    <t>Quebrada Grande</t>
  </si>
  <si>
    <t>Palo Grande</t>
  </si>
  <si>
    <t>La Mora</t>
  </si>
  <si>
    <t>Querébalo</t>
  </si>
  <si>
    <t>Las Loras</t>
  </si>
  <si>
    <t>Santo Tomas</t>
  </si>
  <si>
    <t>Algarrobo</t>
  </si>
  <si>
    <t>Chánguina (Los Arrocha)</t>
  </si>
  <si>
    <t>San Martín Abajo</t>
  </si>
  <si>
    <t>San Martín Arriba</t>
  </si>
  <si>
    <t>Paulino Delgado</t>
  </si>
  <si>
    <t>Barú</t>
  </si>
  <si>
    <t>Baco</t>
  </si>
  <si>
    <t>Corotú Civil</t>
  </si>
  <si>
    <t>Los Camarena</t>
  </si>
  <si>
    <t>Los Samaniegos</t>
  </si>
  <si>
    <t>Los olivos</t>
  </si>
  <si>
    <t>San Valentín</t>
  </si>
  <si>
    <t>Progreso</t>
  </si>
  <si>
    <t>Alto de los Lagos</t>
  </si>
  <si>
    <t>Arena Abajo</t>
  </si>
  <si>
    <t>Colorado Centro</t>
  </si>
  <si>
    <t>Qda Arena</t>
  </si>
  <si>
    <t>Sector Agustín Santo</t>
  </si>
  <si>
    <t>Sector Domingo Aizpurua</t>
  </si>
  <si>
    <t>Callejón del Micho</t>
  </si>
  <si>
    <t>Puerto Armuelles</t>
  </si>
  <si>
    <t>Altos San Vicente</t>
  </si>
  <si>
    <t>El Palmar</t>
  </si>
  <si>
    <t>Los Potreros</t>
  </si>
  <si>
    <t>Quebrada de Piedra</t>
  </si>
  <si>
    <t>Sangrillo sector Los Gonzalez</t>
  </si>
  <si>
    <t>Rodolfo Aguilar</t>
  </si>
  <si>
    <t>Los Olivos</t>
  </si>
  <si>
    <t>Majagua Civil</t>
  </si>
  <si>
    <t>San Antonio (Finca Blanco)</t>
  </si>
  <si>
    <t>Cerro Colorado Centro</t>
  </si>
  <si>
    <t>Colorado - Ojo de Agua</t>
  </si>
  <si>
    <t>Ojo de Agua II Etapa</t>
  </si>
  <si>
    <t xml:space="preserve">Boquerón </t>
  </si>
  <si>
    <t>Bagala</t>
  </si>
  <si>
    <t>Colorado Este</t>
  </si>
  <si>
    <t>Boqueron</t>
  </si>
  <si>
    <t>La Meseta</t>
  </si>
  <si>
    <t>Cordillera</t>
  </si>
  <si>
    <t>Bda Los Guerra</t>
  </si>
  <si>
    <t>Paraiso</t>
  </si>
  <si>
    <t>Santa Marta</t>
  </si>
  <si>
    <t>Boquete</t>
  </si>
  <si>
    <t>Palmira</t>
  </si>
  <si>
    <t>Cañas Verdes</t>
  </si>
  <si>
    <t>Jaramillo</t>
  </si>
  <si>
    <t>El Roble</t>
  </si>
  <si>
    <t>El Valle</t>
  </si>
  <si>
    <t>La Estrella</t>
  </si>
  <si>
    <t>Aserrío</t>
  </si>
  <si>
    <t>Celmira Abajo 3</t>
  </si>
  <si>
    <t>San Isidro 2 Torres</t>
  </si>
  <si>
    <t>San pedro 2 Las Concepciones</t>
  </si>
  <si>
    <t>Aserrío de Gariché</t>
  </si>
  <si>
    <t>Las Azules</t>
  </si>
  <si>
    <t>Los Montenegros</t>
  </si>
  <si>
    <t>Cerro Punta</t>
  </si>
  <si>
    <t>Las Cumbres</t>
  </si>
  <si>
    <t>Cuesta de piedra</t>
  </si>
  <si>
    <t>Macho de monte sector O</t>
  </si>
  <si>
    <t>La Cuchilla II</t>
  </si>
  <si>
    <t>La Concepción(Cab)</t>
  </si>
  <si>
    <t>Barriada Arco Iris</t>
  </si>
  <si>
    <t>Bda San Valentin</t>
  </si>
  <si>
    <t>Celmira - Barriada Pérez</t>
  </si>
  <si>
    <t>Siogui - La Tranca</t>
  </si>
  <si>
    <t>San Andres</t>
  </si>
  <si>
    <t>Santa Rosa</t>
  </si>
  <si>
    <t>Las Mercedes</t>
  </si>
  <si>
    <t>Punta de Riel (El Santo)</t>
  </si>
  <si>
    <t>Rio divalá</t>
  </si>
  <si>
    <t>Bajo Frio</t>
  </si>
  <si>
    <t>La maquenca I</t>
  </si>
  <si>
    <t>La maquenca II</t>
  </si>
  <si>
    <t>Santa Maria</t>
  </si>
  <si>
    <t>Bijagual Centro</t>
  </si>
  <si>
    <t>Santo Domingo</t>
  </si>
  <si>
    <t>Manchuila (Sector Bajo Hondo)</t>
  </si>
  <si>
    <t>Sortová</t>
  </si>
  <si>
    <t>Escobal Adentro 1</t>
  </si>
  <si>
    <t>Escobal Adentro 2</t>
  </si>
  <si>
    <t>Final del Guabo</t>
  </si>
  <si>
    <t>Los Lezcano</t>
  </si>
  <si>
    <t>Volante Abajo</t>
  </si>
  <si>
    <t>Comarca</t>
  </si>
  <si>
    <t>Tule Cabecera</t>
  </si>
  <si>
    <t>La meseta</t>
  </si>
  <si>
    <t>Bijagual</t>
  </si>
  <si>
    <t>Los Cerrillos</t>
  </si>
  <si>
    <t>El Jobo</t>
  </si>
  <si>
    <t>Papayal-Bijagual</t>
  </si>
  <si>
    <t>La Mina la Pita</t>
  </si>
  <si>
    <t>Cochea-Cochea Arriba II</t>
  </si>
  <si>
    <t>El Higo Arriba I y II</t>
  </si>
  <si>
    <t>El Higo de Cochea(Macano)</t>
  </si>
  <si>
    <t>El Macano</t>
  </si>
  <si>
    <t>Cochea-Zambrano</t>
  </si>
  <si>
    <t>Guayabal</t>
  </si>
  <si>
    <t>David (Cabecera)</t>
  </si>
  <si>
    <t>Sector San Carlitos</t>
  </si>
  <si>
    <t>Guacá</t>
  </si>
  <si>
    <t>Nance Bonito</t>
  </si>
  <si>
    <t>Las Palmas</t>
  </si>
  <si>
    <t>La Pedregosa</t>
  </si>
  <si>
    <t>San Carlos</t>
  </si>
  <si>
    <t>Las Maria 1</t>
  </si>
  <si>
    <t>San Pablo Viejo</t>
  </si>
  <si>
    <t>San Roque</t>
  </si>
  <si>
    <t>Pedregal</t>
  </si>
  <si>
    <t>Villa escondida</t>
  </si>
  <si>
    <t>Dolega</t>
  </si>
  <si>
    <t>Algarrobos</t>
  </si>
  <si>
    <t>Las Cañas</t>
  </si>
  <si>
    <t>El Flor</t>
  </si>
  <si>
    <t>Potrerillos Abajo</t>
  </si>
  <si>
    <t>Potrerillos Norte</t>
  </si>
  <si>
    <t>Silvestre Araúz</t>
  </si>
  <si>
    <t>Rovira</t>
  </si>
  <si>
    <t>Loma Alta-Etapa II</t>
  </si>
  <si>
    <t>Gualaca</t>
  </si>
  <si>
    <t>Hornitos</t>
  </si>
  <si>
    <t>Alto Los Pinos Abajo</t>
  </si>
  <si>
    <t>Chiriqucito abajo</t>
  </si>
  <si>
    <t>Paja de Sombrero</t>
  </si>
  <si>
    <t>Calabazal</t>
  </si>
  <si>
    <t>Los Angeles</t>
  </si>
  <si>
    <t>El macho</t>
  </si>
  <si>
    <t>Remedios</t>
  </si>
  <si>
    <t>Nancito</t>
  </si>
  <si>
    <t>Sardina-Potrero de Olla</t>
  </si>
  <si>
    <t>Porvenir</t>
  </si>
  <si>
    <t>Santa Lucia</t>
  </si>
  <si>
    <t>Cucuy</t>
  </si>
  <si>
    <t>El Maria</t>
  </si>
  <si>
    <t>Breñón</t>
  </si>
  <si>
    <t>Mamey-Ojo de Agua</t>
  </si>
  <si>
    <t>Bajo Hornito</t>
  </si>
  <si>
    <t>Caizan</t>
  </si>
  <si>
    <t>Caizan Centro</t>
  </si>
  <si>
    <t>Sector Los Gonzalez</t>
  </si>
  <si>
    <t>Cañas Gordas</t>
  </si>
  <si>
    <t>Nueva Esperanza</t>
  </si>
  <si>
    <t>Centro</t>
  </si>
  <si>
    <t>Mosquito</t>
  </si>
  <si>
    <t>Quebrada vuelta</t>
  </si>
  <si>
    <t>Dominical</t>
  </si>
  <si>
    <t>Caña Blanca</t>
  </si>
  <si>
    <t>Caña Blanca Abajo</t>
  </si>
  <si>
    <t>Caña Blanca arriba</t>
  </si>
  <si>
    <t>Campo Alegre (Sector Chico Ríos)</t>
  </si>
  <si>
    <t>Los Pitti - San Antonio</t>
  </si>
  <si>
    <t>Palmarito (Sector Flia. Samudio)</t>
  </si>
  <si>
    <t>Palmarito (Sector los Atencios)</t>
  </si>
  <si>
    <t>Pista de Lazo</t>
  </si>
  <si>
    <t>San Antonio</t>
  </si>
  <si>
    <t>San Antonio (Damas Unidas)</t>
  </si>
  <si>
    <t>Santa Clarita</t>
  </si>
  <si>
    <t>Valle del Centinela</t>
  </si>
  <si>
    <t>La ceiba</t>
  </si>
  <si>
    <t>Plaza de Caizan</t>
  </si>
  <si>
    <t xml:space="preserve">Caizan </t>
  </si>
  <si>
    <t>Río Sereno</t>
  </si>
  <si>
    <t>Miraflores Oeste</t>
  </si>
  <si>
    <t>Alto Cerrón</t>
  </si>
  <si>
    <t>Alto Quiel</t>
  </si>
  <si>
    <t>Altamira</t>
  </si>
  <si>
    <t>Bella Vista</t>
  </si>
  <si>
    <t>Estadio</t>
  </si>
  <si>
    <t>Santa Clara</t>
  </si>
  <si>
    <t>Rio guiz- Eugenio Pitty</t>
  </si>
  <si>
    <t>Santa Clara Oeste</t>
  </si>
  <si>
    <t>Palmarito sect. Samudio</t>
  </si>
  <si>
    <t>Palmarito sect. Los Gomez</t>
  </si>
  <si>
    <t>Santa Cruz</t>
  </si>
  <si>
    <t>Salitran- Baitun</t>
  </si>
  <si>
    <t>Salitran- Pavón</t>
  </si>
  <si>
    <t>Bonito Centro</t>
  </si>
  <si>
    <t>Los Aguirres</t>
  </si>
  <si>
    <t>Bonita Cerro</t>
  </si>
  <si>
    <t>San Lorenzo</t>
  </si>
  <si>
    <t>San Juan</t>
  </si>
  <si>
    <t>Cieneguita</t>
  </si>
  <si>
    <t>Tolé</t>
  </si>
  <si>
    <t>Cerro Viejo</t>
  </si>
  <si>
    <t>San Miguel</t>
  </si>
  <si>
    <t>Veladero</t>
  </si>
  <si>
    <t xml:space="preserve">Estación Veladero </t>
  </si>
  <si>
    <t>Alto Sanchez</t>
  </si>
  <si>
    <t>Cabecera</t>
  </si>
  <si>
    <t>La Mina</t>
  </si>
  <si>
    <t>Lajas</t>
  </si>
  <si>
    <t>Quebrada de lajas</t>
  </si>
  <si>
    <t>Los Mejias</t>
  </si>
  <si>
    <t>Potrero de Caña</t>
  </si>
  <si>
    <t>Capilla</t>
  </si>
  <si>
    <t>Quebrada de piedra</t>
  </si>
  <si>
    <t>La jungla</t>
  </si>
  <si>
    <t>Ngabë Bügle</t>
  </si>
  <si>
    <t>Nole Duima</t>
  </si>
  <si>
    <t>Cerro Iglesia</t>
  </si>
  <si>
    <t>GRAN TOTAL</t>
  </si>
  <si>
    <t>INGRESO MÁXIMO PERMITIDO</t>
  </si>
  <si>
    <t>VPN DEL INGRESO MÁXIMO PERMITIDO</t>
  </si>
  <si>
    <t>INVERSIONES TOTALES</t>
  </si>
  <si>
    <t>NUM</t>
  </si>
  <si>
    <t>Inst Elec Int</t>
  </si>
  <si>
    <t>Tapias</t>
  </si>
  <si>
    <t>Acometida (Km)</t>
  </si>
  <si>
    <t>Red MT (Km)</t>
  </si>
  <si>
    <t>Red MT-BT (Km)</t>
  </si>
  <si>
    <t>Red BT (Km)</t>
  </si>
  <si>
    <t>KT</t>
  </si>
  <si>
    <t>Fondo para obras especiales</t>
  </si>
  <si>
    <t>CONCEPTO</t>
  </si>
  <si>
    <t>B/./MWh</t>
  </si>
  <si>
    <t>Detalle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</si>
</sst>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_ * #,##0_ ;_ * \-#,##0_ ;_ * &quot;-&quot;??_ ;_ @_ "/>
    <numFmt numFmtId="166" formatCode="0.0000"/>
    <numFmt numFmtId="167" formatCode="0.0%"/>
    <numFmt numFmtId="168" formatCode="0.000"/>
    <numFmt numFmtId="169" formatCode="0.00000"/>
    <numFmt numFmtId="170" formatCode="0.000%"/>
    <numFmt numFmtId="171" formatCode="0.0000%"/>
    <numFmt numFmtId="172" formatCode="0.0000000%"/>
    <numFmt numFmtId="173" formatCode="#,##0.000"/>
    <numFmt numFmtId="174" formatCode="#,##0.0"/>
    <numFmt numFmtId="175" formatCode="#,##0.00_ ;[Red]\-#,##0.00\ "/>
    <numFmt numFmtId="176" formatCode="#,##0.00000"/>
  </numFmts>
  <fonts count="4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9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rgb="FF422E16"/>
      <name val="Arial"/>
      <family val="2"/>
    </font>
    <font>
      <sz val="8"/>
      <name val="Calibri"/>
      <family val="2"/>
    </font>
    <font>
      <sz val="8"/>
      <color rgb="FF422E16"/>
      <name val="Calibri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</cellStyleXfs>
  <cellXfs count="297">
    <xf numFmtId="0" fontId="0" fillId="0" borderId="0" xfId="0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4" fillId="6" borderId="0" xfId="0" applyNumberFormat="1" applyFont="1" applyFill="1" applyAlignment="1">
      <alignment horizontal="center" vertical="center"/>
    </xf>
    <xf numFmtId="4" fontId="15" fillId="6" borderId="0" xfId="0" applyNumberFormat="1" applyFont="1" applyFill="1" applyAlignment="1">
      <alignment horizontal="center" vertical="center"/>
    </xf>
    <xf numFmtId="4" fontId="16" fillId="6" borderId="0" xfId="0" applyNumberFormat="1" applyFont="1" applyFill="1" applyAlignment="1">
      <alignment horizontal="center" vertical="center"/>
    </xf>
    <xf numFmtId="3" fontId="14" fillId="6" borderId="0" xfId="0" applyNumberFormat="1" applyFont="1" applyFill="1" applyAlignment="1">
      <alignment horizontal="center" vertical="center"/>
    </xf>
    <xf numFmtId="3" fontId="16" fillId="6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165" fontId="6" fillId="0" borderId="0" xfId="4" applyNumberFormat="1" applyFont="1" applyFill="1" applyBorder="1" applyAlignment="1">
      <alignment horizontal="center" vertical="center"/>
    </xf>
    <xf numFmtId="167" fontId="6" fillId="0" borderId="0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0" borderId="0" xfId="4" applyNumberFormat="1" applyFont="1" applyFill="1" applyAlignment="1">
      <alignment horizontal="center" vertical="center"/>
    </xf>
    <xf numFmtId="167" fontId="10" fillId="0" borderId="0" xfId="3" applyNumberFormat="1" applyFont="1" applyFill="1" applyAlignment="1">
      <alignment horizontal="center" vertical="center"/>
    </xf>
    <xf numFmtId="166" fontId="14" fillId="0" borderId="0" xfId="2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 indent="2"/>
    </xf>
    <xf numFmtId="0" fontId="14" fillId="0" borderId="0" xfId="0" applyFont="1"/>
    <xf numFmtId="10" fontId="14" fillId="0" borderId="0" xfId="3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4" fontId="14" fillId="0" borderId="0" xfId="4" applyFont="1" applyAlignment="1">
      <alignment horizontal="center" vertical="center"/>
    </xf>
    <xf numFmtId="0" fontId="19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9" fontId="14" fillId="0" borderId="0" xfId="3" applyFont="1" applyFill="1" applyBorder="1" applyAlignment="1">
      <alignment horizontal="center"/>
    </xf>
    <xf numFmtId="172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3" fillId="0" borderId="22" xfId="0" applyFont="1" applyBorder="1"/>
    <xf numFmtId="0" fontId="24" fillId="0" borderId="0" xfId="0" applyFont="1"/>
    <xf numFmtId="0" fontId="23" fillId="0" borderId="23" xfId="0" applyFont="1" applyBorder="1"/>
    <xf numFmtId="0" fontId="23" fillId="0" borderId="12" xfId="0" applyFont="1" applyBorder="1"/>
    <xf numFmtId="10" fontId="26" fillId="0" borderId="11" xfId="3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right"/>
    </xf>
    <xf numFmtId="0" fontId="27" fillId="0" borderId="23" xfId="0" applyFont="1" applyBorder="1"/>
    <xf numFmtId="0" fontId="27" fillId="0" borderId="25" xfId="0" applyFont="1" applyBorder="1" applyAlignment="1">
      <alignment horizontal="right"/>
    </xf>
    <xf numFmtId="0" fontId="27" fillId="0" borderId="23" xfId="0" applyFont="1" applyBorder="1" applyAlignment="1">
      <alignment horizontal="right"/>
    </xf>
    <xf numFmtId="0" fontId="27" fillId="0" borderId="26" xfId="0" applyFont="1" applyBorder="1" applyAlignment="1">
      <alignment horizontal="right"/>
    </xf>
    <xf numFmtId="0" fontId="24" fillId="2" borderId="3" xfId="0" applyFont="1" applyFill="1" applyBorder="1"/>
    <xf numFmtId="0" fontId="24" fillId="2" borderId="4" xfId="0" applyFont="1" applyFill="1" applyBorder="1" applyAlignment="1">
      <alignment horizontal="center"/>
    </xf>
    <xf numFmtId="0" fontId="24" fillId="0" borderId="4" xfId="0" applyFont="1" applyBorder="1"/>
    <xf numFmtId="0" fontId="24" fillId="0" borderId="4" xfId="0" applyFont="1" applyBorder="1" applyAlignment="1">
      <alignment horizontal="center"/>
    </xf>
    <xf numFmtId="3" fontId="28" fillId="0" borderId="4" xfId="0" applyNumberFormat="1" applyFont="1" applyBorder="1" applyAlignment="1">
      <alignment horizontal="right"/>
    </xf>
    <xf numFmtId="0" fontId="23" fillId="0" borderId="9" xfId="0" applyFont="1" applyBorder="1"/>
    <xf numFmtId="0" fontId="29" fillId="0" borderId="0" xfId="0" applyFont="1"/>
    <xf numFmtId="0" fontId="24" fillId="3" borderId="2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3" fillId="0" borderId="6" xfId="0" applyFont="1" applyBorder="1"/>
    <xf numFmtId="3" fontId="26" fillId="3" borderId="7" xfId="0" applyNumberFormat="1" applyFont="1" applyFill="1" applyBorder="1"/>
    <xf numFmtId="3" fontId="23" fillId="0" borderId="7" xfId="0" applyNumberFormat="1" applyFont="1" applyBorder="1"/>
    <xf numFmtId="173" fontId="30" fillId="3" borderId="7" xfId="0" applyNumberFormat="1" applyFont="1" applyFill="1" applyBorder="1"/>
    <xf numFmtId="176" fontId="26" fillId="3" borderId="7" xfId="0" applyNumberFormat="1" applyFont="1" applyFill="1" applyBorder="1"/>
    <xf numFmtId="4" fontId="26" fillId="3" borderId="7" xfId="0" applyNumberFormat="1" applyFont="1" applyFill="1" applyBorder="1"/>
    <xf numFmtId="4" fontId="23" fillId="0" borderId="7" xfId="0" applyNumberFormat="1" applyFont="1" applyBorder="1"/>
    <xf numFmtId="173" fontId="26" fillId="3" borderId="9" xfId="0" applyNumberFormat="1" applyFont="1" applyFill="1" applyBorder="1"/>
    <xf numFmtId="4" fontId="26" fillId="3" borderId="13" xfId="0" applyNumberFormat="1" applyFont="1" applyFill="1" applyBorder="1"/>
    <xf numFmtId="173" fontId="23" fillId="0" borderId="9" xfId="0" applyNumberFormat="1" applyFont="1" applyBorder="1"/>
    <xf numFmtId="173" fontId="23" fillId="0" borderId="13" xfId="0" applyNumberFormat="1" applyFont="1" applyBorder="1"/>
    <xf numFmtId="0" fontId="24" fillId="0" borderId="3" xfId="0" applyFont="1" applyBorder="1"/>
    <xf numFmtId="176" fontId="26" fillId="3" borderId="4" xfId="0" applyNumberFormat="1" applyFont="1" applyFill="1" applyBorder="1"/>
    <xf numFmtId="4" fontId="26" fillId="3" borderId="4" xfId="0" applyNumberFormat="1" applyFont="1" applyFill="1" applyBorder="1"/>
    <xf numFmtId="173" fontId="23" fillId="0" borderId="7" xfId="0" applyNumberFormat="1" applyFont="1" applyBorder="1"/>
    <xf numFmtId="0" fontId="24" fillId="0" borderId="8" xfId="0" applyFont="1" applyBorder="1"/>
    <xf numFmtId="3" fontId="26" fillId="3" borderId="9" xfId="0" applyNumberFormat="1" applyFont="1" applyFill="1" applyBorder="1"/>
    <xf numFmtId="3" fontId="26" fillId="0" borderId="9" xfId="0" applyNumberFormat="1" applyFont="1" applyBorder="1"/>
    <xf numFmtId="167" fontId="23" fillId="0" borderId="0" xfId="3" applyNumberFormat="1" applyFont="1" applyBorder="1"/>
    <xf numFmtId="164" fontId="23" fillId="0" borderId="0" xfId="1" applyFont="1" applyBorder="1"/>
    <xf numFmtId="3" fontId="23" fillId="0" borderId="0" xfId="0" applyNumberFormat="1" applyFont="1"/>
    <xf numFmtId="0" fontId="31" fillId="0" borderId="0" xfId="0" applyFont="1"/>
    <xf numFmtId="168" fontId="23" fillId="0" borderId="0" xfId="0" applyNumberFormat="1" applyFont="1"/>
    <xf numFmtId="0" fontId="24" fillId="2" borderId="5" xfId="0" applyFont="1" applyFill="1" applyBorder="1" applyAlignment="1">
      <alignment horizontal="center"/>
    </xf>
    <xf numFmtId="0" fontId="23" fillId="0" borderId="4" xfId="0" applyFont="1" applyBorder="1"/>
    <xf numFmtId="0" fontId="23" fillId="0" borderId="7" xfId="0" applyFont="1" applyBorder="1"/>
    <xf numFmtId="2" fontId="23" fillId="0" borderId="7" xfId="1" applyNumberFormat="1" applyFont="1" applyFill="1" applyBorder="1"/>
    <xf numFmtId="0" fontId="24" fillId="0" borderId="2" xfId="0" applyFont="1" applyBorder="1"/>
    <xf numFmtId="0" fontId="19" fillId="0" borderId="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165" fontId="23" fillId="0" borderId="9" xfId="0" applyNumberFormat="1" applyFont="1" applyBorder="1"/>
    <xf numFmtId="3" fontId="14" fillId="5" borderId="2" xfId="0" applyNumberFormat="1" applyFont="1" applyFill="1" applyBorder="1" applyAlignment="1">
      <alignment horizontal="right"/>
    </xf>
    <xf numFmtId="0" fontId="32" fillId="0" borderId="2" xfId="0" applyFont="1" applyBorder="1"/>
    <xf numFmtId="0" fontId="32" fillId="0" borderId="31" xfId="0" applyFont="1" applyBorder="1"/>
    <xf numFmtId="0" fontId="24" fillId="0" borderId="1" xfId="0" applyFont="1" applyBorder="1"/>
    <xf numFmtId="165" fontId="24" fillId="0" borderId="1" xfId="0" applyNumberFormat="1" applyFont="1" applyBorder="1"/>
    <xf numFmtId="165" fontId="24" fillId="0" borderId="2" xfId="0" applyNumberFormat="1" applyFont="1" applyBorder="1"/>
    <xf numFmtId="3" fontId="33" fillId="0" borderId="30" xfId="0" applyNumberFormat="1" applyFont="1" applyBorder="1" applyAlignment="1">
      <alignment horizontal="right"/>
    </xf>
    <xf numFmtId="3" fontId="33" fillId="0" borderId="32" xfId="0" applyNumberFormat="1" applyFont="1" applyBorder="1" applyAlignment="1">
      <alignment horizontal="right"/>
    </xf>
    <xf numFmtId="0" fontId="34" fillId="0" borderId="0" xfId="0" applyFont="1" applyAlignment="1">
      <alignment horizontal="left" indent="2"/>
    </xf>
    <xf numFmtId="3" fontId="34" fillId="0" borderId="0" xfId="0" applyNumberFormat="1" applyFont="1" applyAlignment="1">
      <alignment horizontal="right"/>
    </xf>
    <xf numFmtId="165" fontId="24" fillId="0" borderId="0" xfId="0" applyNumberFormat="1" applyFont="1"/>
    <xf numFmtId="0" fontId="23" fillId="0" borderId="2" xfId="0" applyFont="1" applyBorder="1"/>
    <xf numFmtId="168" fontId="23" fillId="0" borderId="0" xfId="0" applyNumberFormat="1" applyFont="1" applyAlignment="1">
      <alignment horizontal="right"/>
    </xf>
    <xf numFmtId="1" fontId="36" fillId="0" borderId="0" xfId="0" applyNumberFormat="1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2" fontId="23" fillId="0" borderId="0" xfId="0" applyNumberFormat="1" applyFont="1" applyAlignment="1">
      <alignment horizontal="center" vertical="center"/>
    </xf>
    <xf numFmtId="3" fontId="23" fillId="6" borderId="0" xfId="0" applyNumberFormat="1" applyFont="1" applyFill="1" applyAlignment="1">
      <alignment horizontal="center" vertical="center"/>
    </xf>
    <xf numFmtId="167" fontId="23" fillId="0" borderId="0" xfId="3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65" fontId="23" fillId="0" borderId="0" xfId="4" applyNumberFormat="1" applyFont="1" applyAlignment="1">
      <alignment horizontal="center" vertical="center"/>
    </xf>
    <xf numFmtId="165" fontId="23" fillId="0" borderId="0" xfId="4" applyNumberFormat="1" applyFont="1" applyFill="1" applyAlignment="1">
      <alignment horizontal="center" vertical="center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indent="2"/>
    </xf>
    <xf numFmtId="0" fontId="23" fillId="0" borderId="0" xfId="0" applyFont="1" applyAlignment="1">
      <alignment horizontal="left" vertical="center" indent="3"/>
    </xf>
    <xf numFmtId="0" fontId="23" fillId="0" borderId="0" xfId="0" applyFont="1" applyAlignment="1">
      <alignment horizontal="left" indent="2"/>
    </xf>
    <xf numFmtId="0" fontId="23" fillId="0" borderId="0" xfId="0" applyFont="1" applyAlignment="1">
      <alignment horizontal="left" vertical="justify" indent="2"/>
    </xf>
    <xf numFmtId="172" fontId="23" fillId="0" borderId="0" xfId="0" applyNumberFormat="1" applyFont="1"/>
    <xf numFmtId="165" fontId="23" fillId="0" borderId="0" xfId="0" applyNumberFormat="1" applyFont="1" applyAlignment="1">
      <alignment horizontal="center" vertical="center"/>
    </xf>
    <xf numFmtId="10" fontId="23" fillId="0" borderId="0" xfId="3" applyNumberFormat="1" applyFont="1" applyFill="1" applyBorder="1" applyAlignment="1">
      <alignment horizontal="center" vertical="center"/>
    </xf>
    <xf numFmtId="10" fontId="24" fillId="0" borderId="7" xfId="3" applyNumberFormat="1" applyFont="1" applyBorder="1"/>
    <xf numFmtId="0" fontId="24" fillId="0" borderId="6" xfId="0" applyFont="1" applyBorder="1"/>
    <xf numFmtId="0" fontId="23" fillId="0" borderId="8" xfId="0" applyFont="1" applyBorder="1"/>
    <xf numFmtId="0" fontId="24" fillId="2" borderId="1" xfId="0" applyFont="1" applyFill="1" applyBorder="1"/>
    <xf numFmtId="0" fontId="23" fillId="0" borderId="7" xfId="0" applyFont="1" applyBorder="1" applyAlignment="1">
      <alignment horizontal="center"/>
    </xf>
    <xf numFmtId="2" fontId="28" fillId="3" borderId="6" xfId="1" applyNumberFormat="1" applyFont="1" applyFill="1" applyBorder="1"/>
    <xf numFmtId="2" fontId="23" fillId="0" borderId="0" xfId="0" applyNumberFormat="1" applyFont="1"/>
    <xf numFmtId="0" fontId="23" fillId="0" borderId="6" xfId="0" quotePrefix="1" applyFont="1" applyBorder="1" applyAlignment="1">
      <alignment horizontal="left"/>
    </xf>
    <xf numFmtId="174" fontId="28" fillId="3" borderId="6" xfId="1" applyNumberFormat="1" applyFont="1" applyFill="1" applyBorder="1"/>
    <xf numFmtId="174" fontId="23" fillId="0" borderId="7" xfId="0" applyNumberFormat="1" applyFont="1" applyBorder="1"/>
    <xf numFmtId="0" fontId="23" fillId="0" borderId="9" xfId="0" applyFont="1" applyBorder="1" applyAlignment="1">
      <alignment horizontal="center"/>
    </xf>
    <xf numFmtId="3" fontId="28" fillId="3" borderId="6" xfId="1" applyNumberFormat="1" applyFont="1" applyFill="1" applyBorder="1"/>
    <xf numFmtId="10" fontId="24" fillId="0" borderId="9" xfId="3" applyNumberFormat="1" applyFont="1" applyBorder="1"/>
    <xf numFmtId="0" fontId="23" fillId="0" borderId="2" xfId="0" applyFont="1" applyBorder="1" applyAlignment="1">
      <alignment horizontal="center"/>
    </xf>
    <xf numFmtId="2" fontId="23" fillId="0" borderId="2" xfId="0" applyNumberFormat="1" applyFont="1" applyBorder="1"/>
    <xf numFmtId="2" fontId="23" fillId="0" borderId="9" xfId="0" applyNumberFormat="1" applyFont="1" applyBorder="1"/>
    <xf numFmtId="2" fontId="28" fillId="0" borderId="0" xfId="1" applyNumberFormat="1" applyFont="1" applyFill="1" applyBorder="1"/>
    <xf numFmtId="4" fontId="39" fillId="0" borderId="2" xfId="0" applyNumberFormat="1" applyFont="1" applyBorder="1"/>
    <xf numFmtId="0" fontId="23" fillId="0" borderId="0" xfId="0" applyFont="1" applyAlignment="1">
      <alignment horizontal="center"/>
    </xf>
    <xf numFmtId="17" fontId="24" fillId="0" borderId="2" xfId="0" applyNumberFormat="1" applyFont="1" applyBorder="1" applyAlignment="1">
      <alignment horizontal="center"/>
    </xf>
    <xf numFmtId="0" fontId="14" fillId="0" borderId="2" xfId="0" applyFont="1" applyBorder="1"/>
    <xf numFmtId="3" fontId="23" fillId="0" borderId="2" xfId="0" applyNumberFormat="1" applyFont="1" applyBorder="1"/>
    <xf numFmtId="0" fontId="14" fillId="0" borderId="2" xfId="0" quotePrefix="1" applyFont="1" applyBorder="1" applyAlignment="1">
      <alignment horizontal="left"/>
    </xf>
    <xf numFmtId="2" fontId="14" fillId="0" borderId="2" xfId="0" applyNumberFormat="1" applyFont="1" applyBorder="1" applyAlignment="1">
      <alignment horizontal="center"/>
    </xf>
    <xf numFmtId="4" fontId="23" fillId="0" borderId="0" xfId="0" applyNumberFormat="1" applyFont="1"/>
    <xf numFmtId="0" fontId="40" fillId="0" borderId="0" xfId="0" applyFont="1"/>
    <xf numFmtId="0" fontId="41" fillId="0" borderId="0" xfId="0" applyFont="1"/>
    <xf numFmtId="4" fontId="24" fillId="0" borderId="7" xfId="1" applyNumberFormat="1" applyFont="1" applyFill="1" applyBorder="1"/>
    <xf numFmtId="0" fontId="39" fillId="0" borderId="1" xfId="0" applyFont="1" applyBorder="1"/>
    <xf numFmtId="165" fontId="23" fillId="0" borderId="9" xfId="1" applyNumberFormat="1" applyFont="1" applyBorder="1"/>
    <xf numFmtId="0" fontId="38" fillId="0" borderId="15" xfId="0" applyFont="1" applyBorder="1"/>
    <xf numFmtId="0" fontId="38" fillId="0" borderId="16" xfId="0" applyFont="1" applyBorder="1"/>
    <xf numFmtId="0" fontId="38" fillId="0" borderId="17" xfId="0" applyFont="1" applyBorder="1"/>
    <xf numFmtId="0" fontId="38" fillId="0" borderId="18" xfId="0" applyFont="1" applyBorder="1" applyAlignment="1">
      <alignment horizontal="center"/>
    </xf>
    <xf numFmtId="175" fontId="38" fillId="0" borderId="18" xfId="0" applyNumberFormat="1" applyFont="1" applyBorder="1"/>
    <xf numFmtId="0" fontId="38" fillId="0" borderId="12" xfId="0" applyFont="1" applyBorder="1"/>
    <xf numFmtId="0" fontId="38" fillId="0" borderId="11" xfId="0" applyFont="1" applyBorder="1" applyAlignment="1">
      <alignment horizontal="center"/>
    </xf>
    <xf numFmtId="175" fontId="38" fillId="0" borderId="11" xfId="0" applyNumberFormat="1" applyFont="1" applyBorder="1"/>
    <xf numFmtId="165" fontId="38" fillId="0" borderId="18" xfId="1" applyNumberFormat="1" applyFont="1" applyFill="1" applyBorder="1"/>
    <xf numFmtId="0" fontId="39" fillId="3" borderId="12" xfId="0" applyFont="1" applyFill="1" applyBorder="1"/>
    <xf numFmtId="0" fontId="39" fillId="3" borderId="11" xfId="0" applyFont="1" applyFill="1" applyBorder="1" applyAlignment="1">
      <alignment horizontal="center"/>
    </xf>
    <xf numFmtId="2" fontId="39" fillId="3" borderId="11" xfId="0" applyNumberFormat="1" applyFont="1" applyFill="1" applyBorder="1" applyAlignment="1">
      <alignment horizontal="center"/>
    </xf>
    <xf numFmtId="170" fontId="23" fillId="0" borderId="0" xfId="3" applyNumberFormat="1" applyFont="1"/>
    <xf numFmtId="171" fontId="25" fillId="4" borderId="2" xfId="3" applyNumberFormat="1" applyFont="1" applyFill="1" applyBorder="1" applyAlignment="1">
      <alignment horizontal="center" vertical="justify"/>
    </xf>
    <xf numFmtId="3" fontId="43" fillId="0" borderId="2" xfId="0" applyNumberFormat="1" applyFont="1" applyBorder="1" applyAlignment="1">
      <alignment horizontal="center"/>
    </xf>
    <xf numFmtId="10" fontId="42" fillId="0" borderId="0" xfId="3" applyNumberFormat="1" applyFont="1" applyBorder="1" applyAlignment="1">
      <alignment horizontal="center"/>
    </xf>
    <xf numFmtId="0" fontId="39" fillId="0" borderId="0" xfId="0" applyFont="1"/>
    <xf numFmtId="4" fontId="39" fillId="0" borderId="0" xfId="0" applyNumberFormat="1" applyFont="1"/>
    <xf numFmtId="0" fontId="14" fillId="5" borderId="23" xfId="0" applyFont="1" applyFill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23" fillId="5" borderId="23" xfId="0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right"/>
    </xf>
    <xf numFmtId="3" fontId="23" fillId="5" borderId="31" xfId="0" applyNumberFormat="1" applyFont="1" applyFill="1" applyBorder="1" applyAlignment="1">
      <alignment horizontal="right"/>
    </xf>
    <xf numFmtId="0" fontId="35" fillId="0" borderId="26" xfId="0" applyFont="1" applyBorder="1" applyAlignment="1">
      <alignment horizontal="right"/>
    </xf>
    <xf numFmtId="3" fontId="35" fillId="0" borderId="30" xfId="0" applyNumberFormat="1" applyFont="1" applyBorder="1" applyAlignment="1">
      <alignment horizontal="right"/>
    </xf>
    <xf numFmtId="3" fontId="35" fillId="0" borderId="32" xfId="0" applyNumberFormat="1" applyFont="1" applyBorder="1" applyAlignment="1">
      <alignment horizontal="right"/>
    </xf>
    <xf numFmtId="0" fontId="23" fillId="7" borderId="2" xfId="0" applyFont="1" applyFill="1" applyBorder="1"/>
    <xf numFmtId="164" fontId="23" fillId="7" borderId="2" xfId="1" applyFont="1" applyFill="1" applyBorder="1"/>
    <xf numFmtId="0" fontId="23" fillId="8" borderId="2" xfId="0" applyFont="1" applyFill="1" applyBorder="1"/>
    <xf numFmtId="164" fontId="23" fillId="8" borderId="2" xfId="1" applyFont="1" applyFill="1" applyBorder="1"/>
    <xf numFmtId="0" fontId="23" fillId="9" borderId="2" xfId="0" applyFont="1" applyFill="1" applyBorder="1"/>
    <xf numFmtId="164" fontId="23" fillId="9" borderId="2" xfId="1" applyFont="1" applyFill="1" applyBorder="1"/>
    <xf numFmtId="4" fontId="23" fillId="0" borderId="7" xfId="1" applyNumberFormat="1" applyFont="1" applyFill="1" applyBorder="1"/>
    <xf numFmtId="165" fontId="39" fillId="0" borderId="2" xfId="0" applyNumberFormat="1" applyFont="1" applyBorder="1"/>
    <xf numFmtId="165" fontId="39" fillId="0" borderId="14" xfId="0" applyNumberFormat="1" applyFont="1" applyBorder="1"/>
    <xf numFmtId="165" fontId="39" fillId="0" borderId="20" xfId="0" applyNumberFormat="1" applyFont="1" applyBorder="1"/>
    <xf numFmtId="0" fontId="2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10" fontId="14" fillId="0" borderId="35" xfId="3" applyNumberFormat="1" applyFont="1" applyFill="1" applyBorder="1" applyAlignment="1">
      <alignment horizontal="center" vertical="center"/>
    </xf>
    <xf numFmtId="173" fontId="14" fillId="0" borderId="36" xfId="3" applyNumberFormat="1" applyFont="1" applyFill="1" applyBorder="1" applyAlignment="1">
      <alignment horizontal="center" vertical="center"/>
    </xf>
    <xf numFmtId="10" fontId="14" fillId="0" borderId="36" xfId="3" applyNumberFormat="1" applyFont="1" applyFill="1" applyBorder="1" applyAlignment="1">
      <alignment horizontal="center" vertical="center"/>
    </xf>
    <xf numFmtId="10" fontId="19" fillId="0" borderId="36" xfId="3" applyNumberFormat="1" applyFont="1" applyFill="1" applyBorder="1" applyAlignment="1">
      <alignment horizontal="center" vertical="center"/>
    </xf>
    <xf numFmtId="9" fontId="14" fillId="0" borderId="36" xfId="3" applyFont="1" applyFill="1" applyBorder="1" applyAlignment="1">
      <alignment horizontal="center" vertical="center"/>
    </xf>
    <xf numFmtId="10" fontId="19" fillId="0" borderId="37" xfId="3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/>
    </xf>
    <xf numFmtId="0" fontId="29" fillId="0" borderId="6" xfId="0" applyFont="1" applyBorder="1"/>
    <xf numFmtId="0" fontId="29" fillId="0" borderId="7" xfId="0" applyFont="1" applyBorder="1"/>
    <xf numFmtId="4" fontId="29" fillId="0" borderId="7" xfId="0" applyNumberFormat="1" applyFont="1" applyBorder="1"/>
    <xf numFmtId="0" fontId="29" fillId="0" borderId="2" xfId="0" applyFont="1" applyBorder="1"/>
    <xf numFmtId="169" fontId="29" fillId="0" borderId="2" xfId="0" applyNumberFormat="1" applyFont="1" applyBorder="1" applyAlignment="1">
      <alignment horizontal="center"/>
    </xf>
    <xf numFmtId="0" fontId="25" fillId="0" borderId="1" xfId="0" applyFont="1" applyBorder="1"/>
    <xf numFmtId="169" fontId="25" fillId="0" borderId="2" xfId="0" applyNumberFormat="1" applyFont="1" applyBorder="1" applyAlignment="1">
      <alignment horizontal="center"/>
    </xf>
    <xf numFmtId="0" fontId="25" fillId="0" borderId="6" xfId="0" applyFont="1" applyBorder="1"/>
    <xf numFmtId="0" fontId="29" fillId="0" borderId="4" xfId="0" applyFont="1" applyBorder="1"/>
    <xf numFmtId="0" fontId="29" fillId="0" borderId="10" xfId="0" applyFont="1" applyBorder="1"/>
    <xf numFmtId="0" fontId="29" fillId="0" borderId="5" xfId="0" applyFont="1" applyBorder="1"/>
    <xf numFmtId="165" fontId="29" fillId="0" borderId="7" xfId="1" applyNumberFormat="1" applyFont="1" applyBorder="1"/>
    <xf numFmtId="0" fontId="14" fillId="0" borderId="1" xfId="0" applyFont="1" applyBorder="1"/>
    <xf numFmtId="164" fontId="14" fillId="0" borderId="2" xfId="1" applyFont="1" applyBorder="1"/>
    <xf numFmtId="17" fontId="23" fillId="0" borderId="7" xfId="0" applyNumberFormat="1" applyFont="1" applyBorder="1" applyAlignment="1">
      <alignment horizontal="left"/>
    </xf>
    <xf numFmtId="17" fontId="23" fillId="0" borderId="7" xfId="0" applyNumberFormat="1" applyFont="1" applyBorder="1" applyAlignment="1">
      <alignment horizontal="center"/>
    </xf>
    <xf numFmtId="2" fontId="44" fillId="0" borderId="7" xfId="0" applyNumberFormat="1" applyFont="1" applyBorder="1"/>
    <xf numFmtId="10" fontId="44" fillId="0" borderId="7" xfId="3" applyNumberFormat="1" applyFont="1" applyFill="1" applyBorder="1"/>
    <xf numFmtId="0" fontId="3" fillId="0" borderId="2" xfId="5" applyFont="1" applyBorder="1" applyAlignment="1">
      <alignment horizontal="center" vertical="center"/>
    </xf>
    <xf numFmtId="0" fontId="3" fillId="10" borderId="2" xfId="5" applyFont="1" applyFill="1" applyBorder="1" applyAlignment="1">
      <alignment horizontal="center" vertical="center"/>
    </xf>
    <xf numFmtId="0" fontId="3" fillId="0" borderId="2" xfId="5" applyFont="1" applyBorder="1" applyAlignment="1">
      <alignment horizontal="center" vertical="center" wrapText="1"/>
    </xf>
    <xf numFmtId="0" fontId="45" fillId="10" borderId="2" xfId="5" applyFont="1" applyFill="1" applyBorder="1" applyAlignment="1">
      <alignment vertical="center"/>
    </xf>
    <xf numFmtId="0" fontId="46" fillId="10" borderId="2" xfId="5" applyFont="1" applyFill="1" applyBorder="1" applyAlignment="1">
      <alignment vertical="center"/>
    </xf>
    <xf numFmtId="0" fontId="46" fillId="10" borderId="2" xfId="5" applyFont="1" applyFill="1" applyBorder="1" applyAlignment="1">
      <alignment horizontal="left"/>
    </xf>
    <xf numFmtId="0" fontId="46" fillId="10" borderId="2" xfId="5" applyFont="1" applyFill="1" applyBorder="1"/>
    <xf numFmtId="0" fontId="47" fillId="10" borderId="2" xfId="5" applyFont="1" applyFill="1" applyBorder="1" applyAlignment="1">
      <alignment horizontal="center"/>
    </xf>
    <xf numFmtId="0" fontId="23" fillId="11" borderId="2" xfId="0" applyFont="1" applyFill="1" applyBorder="1"/>
    <xf numFmtId="164" fontId="23" fillId="11" borderId="2" xfId="1" applyFont="1" applyFill="1" applyBorder="1"/>
    <xf numFmtId="0" fontId="24" fillId="12" borderId="21" xfId="0" applyFont="1" applyFill="1" applyBorder="1" applyAlignment="1">
      <alignment horizontal="center"/>
    </xf>
    <xf numFmtId="0" fontId="24" fillId="12" borderId="19" xfId="0" applyFont="1" applyFill="1" applyBorder="1" applyAlignment="1">
      <alignment horizontal="center"/>
    </xf>
    <xf numFmtId="0" fontId="25" fillId="12" borderId="1" xfId="0" applyFont="1" applyFill="1" applyBorder="1"/>
    <xf numFmtId="4" fontId="25" fillId="0" borderId="2" xfId="0" applyNumberFormat="1" applyFont="1" applyBorder="1"/>
    <xf numFmtId="4" fontId="25" fillId="0" borderId="31" xfId="0" applyNumberFormat="1" applyFont="1" applyBorder="1"/>
    <xf numFmtId="164" fontId="23" fillId="3" borderId="9" xfId="1" applyFont="1" applyFill="1" applyBorder="1"/>
    <xf numFmtId="164" fontId="23" fillId="3" borderId="13" xfId="1" applyFont="1" applyFill="1" applyBorder="1"/>
    <xf numFmtId="2" fontId="3" fillId="0" borderId="2" xfId="5" applyNumberFormat="1" applyFont="1" applyBorder="1" applyAlignment="1">
      <alignment horizontal="center" vertical="center"/>
    </xf>
    <xf numFmtId="0" fontId="48" fillId="12" borderId="2" xfId="5" applyFont="1" applyFill="1" applyBorder="1" applyAlignment="1">
      <alignment horizontal="center" vertical="center"/>
    </xf>
    <xf numFmtId="0" fontId="48" fillId="12" borderId="2" xfId="5" applyFont="1" applyFill="1" applyBorder="1" applyAlignment="1">
      <alignment horizontal="center" vertical="center" wrapText="1"/>
    </xf>
    <xf numFmtId="2" fontId="48" fillId="12" borderId="2" xfId="5" applyNumberFormat="1" applyFont="1" applyFill="1" applyBorder="1" applyAlignment="1">
      <alignment horizontal="center" vertical="center" wrapText="1"/>
    </xf>
    <xf numFmtId="2" fontId="48" fillId="12" borderId="2" xfId="5" applyNumberFormat="1" applyFont="1" applyFill="1" applyBorder="1" applyAlignment="1">
      <alignment horizontal="center" vertical="center"/>
    </xf>
    <xf numFmtId="3" fontId="48" fillId="12" borderId="2" xfId="5" applyNumberFormat="1" applyFont="1" applyFill="1" applyBorder="1" applyAlignment="1">
      <alignment horizontal="center" vertical="center"/>
    </xf>
    <xf numFmtId="0" fontId="48" fillId="12" borderId="23" xfId="5" applyFont="1" applyFill="1" applyBorder="1" applyAlignment="1">
      <alignment horizontal="center" vertical="center"/>
    </xf>
    <xf numFmtId="2" fontId="48" fillId="12" borderId="31" xfId="5" applyNumberFormat="1" applyFont="1" applyFill="1" applyBorder="1" applyAlignment="1">
      <alignment horizontal="center" vertical="center"/>
    </xf>
    <xf numFmtId="0" fontId="3" fillId="0" borderId="23" xfId="5" applyFont="1" applyBorder="1" applyAlignment="1">
      <alignment horizontal="center" vertical="center"/>
    </xf>
    <xf numFmtId="2" fontId="3" fillId="0" borderId="31" xfId="5" applyNumberFormat="1" applyFont="1" applyBorder="1" applyAlignment="1">
      <alignment horizontal="center" vertical="center"/>
    </xf>
    <xf numFmtId="0" fontId="3" fillId="10" borderId="23" xfId="5" applyFont="1" applyFill="1" applyBorder="1" applyAlignment="1">
      <alignment horizontal="center" vertical="center"/>
    </xf>
    <xf numFmtId="2" fontId="3" fillId="10" borderId="31" xfId="5" applyNumberFormat="1" applyFont="1" applyFill="1" applyBorder="1" applyAlignment="1">
      <alignment horizontal="center" vertical="center"/>
    </xf>
    <xf numFmtId="0" fontId="48" fillId="12" borderId="26" xfId="5" applyFont="1" applyFill="1" applyBorder="1" applyAlignment="1">
      <alignment horizontal="center" vertical="center"/>
    </xf>
    <xf numFmtId="3" fontId="48" fillId="12" borderId="30" xfId="5" applyNumberFormat="1" applyFont="1" applyFill="1" applyBorder="1" applyAlignment="1">
      <alignment horizontal="center" vertical="center"/>
    </xf>
    <xf numFmtId="3" fontId="48" fillId="12" borderId="32" xfId="5" applyNumberFormat="1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/>
    </xf>
    <xf numFmtId="174" fontId="23" fillId="0" borderId="9" xfId="0" applyNumberFormat="1" applyFont="1" applyBorder="1"/>
    <xf numFmtId="2" fontId="3" fillId="10" borderId="2" xfId="5" applyNumberFormat="1" applyFont="1" applyFill="1" applyBorder="1" applyAlignment="1">
      <alignment horizontal="center" vertical="center"/>
    </xf>
    <xf numFmtId="2" fontId="47" fillId="10" borderId="2" xfId="5" applyNumberFormat="1" applyFont="1" applyFill="1" applyBorder="1" applyAlignment="1">
      <alignment horizontal="center"/>
    </xf>
    <xf numFmtId="0" fontId="39" fillId="2" borderId="12" xfId="0" applyFont="1" applyFill="1" applyBorder="1" applyAlignment="1">
      <alignment horizontal="center"/>
    </xf>
    <xf numFmtId="0" fontId="39" fillId="2" borderId="38" xfId="0" applyFont="1" applyFill="1" applyBorder="1" applyAlignment="1">
      <alignment horizontal="center"/>
    </xf>
    <xf numFmtId="0" fontId="39" fillId="2" borderId="34" xfId="0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 wrapText="1"/>
    </xf>
    <xf numFmtId="0" fontId="38" fillId="2" borderId="33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center" vertical="center"/>
    </xf>
    <xf numFmtId="0" fontId="39" fillId="2" borderId="33" xfId="0" applyFont="1" applyFill="1" applyBorder="1" applyAlignment="1">
      <alignment horizontal="center" vertical="center"/>
    </xf>
    <xf numFmtId="0" fontId="24" fillId="12" borderId="3" xfId="0" applyFont="1" applyFill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20" xfId="0" applyFont="1" applyBorder="1" applyAlignment="1">
      <alignment horizontal="center"/>
    </xf>
    <xf numFmtId="0" fontId="24" fillId="12" borderId="3" xfId="0" applyFont="1" applyFill="1" applyBorder="1" applyAlignment="1">
      <alignment horizontal="center" vertical="center" wrapText="1"/>
    </xf>
    <xf numFmtId="0" fontId="24" fillId="12" borderId="5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 wrapText="1"/>
    </xf>
    <xf numFmtId="0" fontId="24" fillId="12" borderId="13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0" fontId="24" fillId="1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4" fillId="12" borderId="12" xfId="0" applyFont="1" applyFill="1" applyBorder="1" applyAlignment="1">
      <alignment horizontal="center"/>
    </xf>
    <xf numFmtId="0" fontId="24" fillId="12" borderId="38" xfId="0" applyFont="1" applyFill="1" applyBorder="1" applyAlignment="1">
      <alignment horizontal="center"/>
    </xf>
    <xf numFmtId="0" fontId="24" fillId="12" borderId="34" xfId="0" applyFont="1" applyFill="1" applyBorder="1" applyAlignment="1">
      <alignment horizontal="center"/>
    </xf>
    <xf numFmtId="0" fontId="37" fillId="12" borderId="27" xfId="0" applyFont="1" applyFill="1" applyBorder="1" applyAlignment="1">
      <alignment horizontal="center" vertical="center"/>
    </xf>
    <xf numFmtId="0" fontId="23" fillId="12" borderId="23" xfId="0" applyFont="1" applyFill="1" applyBorder="1" applyAlignment="1">
      <alignment horizontal="center" vertical="center"/>
    </xf>
    <xf numFmtId="0" fontId="37" fillId="12" borderId="28" xfId="0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37" fillId="12" borderId="29" xfId="0" applyFont="1" applyFill="1" applyBorder="1" applyAlignment="1">
      <alignment horizontal="center" vertical="center" wrapText="1"/>
    </xf>
    <xf numFmtId="0" fontId="23" fillId="12" borderId="31" xfId="0" applyFont="1" applyFill="1" applyBorder="1" applyAlignment="1">
      <alignment horizontal="center" vertical="center" wrapText="1"/>
    </xf>
    <xf numFmtId="0" fontId="48" fillId="12" borderId="2" xfId="5" applyFont="1" applyFill="1" applyBorder="1" applyAlignment="1">
      <alignment horizontal="center" vertical="center"/>
    </xf>
    <xf numFmtId="0" fontId="48" fillId="12" borderId="30" xfId="5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23" fillId="0" borderId="0" xfId="0" applyFont="1"/>
    <xf numFmtId="0" fontId="33" fillId="12" borderId="2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/>
    </xf>
    <xf numFmtId="0" fontId="23" fillId="3" borderId="20" xfId="0" applyFont="1" applyFill="1" applyBorder="1" applyAlignment="1">
      <alignment horizontal="left"/>
    </xf>
    <xf numFmtId="0" fontId="24" fillId="12" borderId="41" xfId="0" applyFont="1" applyFill="1" applyBorder="1" applyAlignment="1">
      <alignment horizontal="center"/>
    </xf>
    <xf numFmtId="0" fontId="24" fillId="12" borderId="39" xfId="0" applyFont="1" applyFill="1" applyBorder="1" applyAlignment="1">
      <alignment horizontal="center"/>
    </xf>
    <xf numFmtId="0" fontId="24" fillId="12" borderId="40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37" fillId="12" borderId="23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 wrapText="1"/>
    </xf>
    <xf numFmtId="0" fontId="37" fillId="12" borderId="31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00000000-0005-0000-0000-000001000000}"/>
    <cellStyle name="Normal" xfId="0" builtinId="0"/>
    <cellStyle name="Normal 2" xfId="5" xr:uid="{00000000-0005-0000-0000-000003000000}"/>
    <cellStyle name="Normal_COyM_DDE_DOLAR_97-04_SANJUAN" xfId="2" xr:uid="{00000000-0005-0000-0000-000004000000}"/>
    <cellStyle name="Porcentaje" xfId="3" builtinId="5"/>
  </cellStyles>
  <dxfs count="5">
    <dxf>
      <fill>
        <patternFill>
          <bgColor indexed="30"/>
        </patternFill>
      </fill>
    </dxf>
    <dxf>
      <fill>
        <patternFill>
          <bgColor indexed="30"/>
        </patternFill>
      </fill>
    </dxf>
    <dxf>
      <fill>
        <patternFill>
          <bgColor indexed="30"/>
        </patternFill>
      </fill>
    </dxf>
    <dxf>
      <fill>
        <patternFill>
          <bgColor indexed="30"/>
        </patternFill>
      </fill>
    </dxf>
    <dxf>
      <fill>
        <patternFill>
          <bgColor indexed="3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H61"/>
  <sheetViews>
    <sheetView tabSelected="1" topLeftCell="A31" zoomScaleNormal="100" workbookViewId="0">
      <selection activeCell="B38" sqref="B38"/>
    </sheetView>
  </sheetViews>
  <sheetFormatPr baseColWidth="10" defaultRowHeight="12.75" x14ac:dyDescent="0.2"/>
  <cols>
    <col min="1" max="1" width="11.42578125" style="36"/>
    <col min="2" max="2" width="73.140625" style="36" customWidth="1"/>
    <col min="3" max="3" width="17.28515625" style="36" customWidth="1"/>
    <col min="4" max="4" width="27.7109375" style="36" customWidth="1"/>
    <col min="5" max="5" width="22.5703125" style="36" customWidth="1"/>
    <col min="6" max="6" width="16.140625" style="36" customWidth="1"/>
    <col min="7" max="7" width="20.85546875" style="36" customWidth="1"/>
    <col min="8" max="8" width="20" style="36" customWidth="1"/>
    <col min="9" max="13" width="19.85546875" style="36" customWidth="1"/>
    <col min="14" max="16384" width="11.42578125" style="36"/>
  </cols>
  <sheetData>
    <row r="1" spans="2:6" ht="23.25" x14ac:dyDescent="0.35">
      <c r="B1" s="144" t="s">
        <v>65</v>
      </c>
      <c r="C1" s="79"/>
    </row>
    <row r="2" spans="2:6" ht="18.75" x14ac:dyDescent="0.3">
      <c r="C2" s="145"/>
    </row>
    <row r="3" spans="2:6" ht="23.25" x14ac:dyDescent="0.35">
      <c r="B3" s="144" t="s">
        <v>114</v>
      </c>
    </row>
    <row r="5" spans="2:6" ht="15.75" x14ac:dyDescent="0.25">
      <c r="B5" s="55" t="s">
        <v>115</v>
      </c>
    </row>
    <row r="7" spans="2:6" ht="15.75" x14ac:dyDescent="0.25">
      <c r="B7" s="225" t="s">
        <v>469</v>
      </c>
      <c r="C7" s="194" t="s">
        <v>171</v>
      </c>
      <c r="D7" s="194" t="s">
        <v>172</v>
      </c>
      <c r="E7" s="194" t="s">
        <v>173</v>
      </c>
      <c r="F7" s="194" t="s">
        <v>174</v>
      </c>
    </row>
    <row r="8" spans="2:6" ht="15.75" x14ac:dyDescent="0.25">
      <c r="B8" s="195"/>
      <c r="C8" s="196"/>
      <c r="D8" s="196"/>
      <c r="E8" s="196"/>
      <c r="F8" s="196"/>
    </row>
    <row r="9" spans="2:6" ht="15.75" x14ac:dyDescent="0.25">
      <c r="B9" s="195" t="s">
        <v>37</v>
      </c>
      <c r="C9" s="197">
        <f>+IMPD!D15</f>
        <v>27087.060031348366</v>
      </c>
      <c r="D9" s="197">
        <f>+IMPD!E15</f>
        <v>30245.280541984728</v>
      </c>
      <c r="E9" s="197">
        <f>+IMPD!F15</f>
        <v>32877.239021866662</v>
      </c>
      <c r="F9" s="197">
        <f>+IMPD!G15</f>
        <v>35035.015506803778</v>
      </c>
    </row>
    <row r="10" spans="2:6" ht="15.75" x14ac:dyDescent="0.25">
      <c r="B10" s="195" t="s">
        <v>19</v>
      </c>
      <c r="C10" s="197">
        <f>+IMPCO!D14</f>
        <v>9765.9445421880155</v>
      </c>
      <c r="D10" s="197">
        <f>+IMPCO!E14</f>
        <v>10275.833484264927</v>
      </c>
      <c r="E10" s="197">
        <f>+IMPCO!F14</f>
        <v>10787.481612609481</v>
      </c>
      <c r="F10" s="197">
        <f>+IMPCO!G14</f>
        <v>11297.41631875128</v>
      </c>
    </row>
    <row r="11" spans="2:6" ht="15.75" x14ac:dyDescent="0.25">
      <c r="B11" s="195" t="s">
        <v>17</v>
      </c>
      <c r="C11" s="197">
        <f>+ALUMPU!D14</f>
        <v>1001.0839278276703</v>
      </c>
      <c r="D11" s="197">
        <f>+ALUMPU!E14</f>
        <v>1071.0929744232023</v>
      </c>
      <c r="E11" s="197">
        <f>+ALUMPU!F14</f>
        <v>1145.5728814617905</v>
      </c>
      <c r="F11" s="197">
        <f>+ALUMPU!G14</f>
        <v>1382.8970931612521</v>
      </c>
    </row>
    <row r="12" spans="2:6" ht="15.75" x14ac:dyDescent="0.25">
      <c r="B12" s="195" t="s">
        <v>14</v>
      </c>
      <c r="C12" s="197">
        <f>+IMPD!D19</f>
        <v>8740.3434423480176</v>
      </c>
      <c r="D12" s="197">
        <f>+IMPD!E19</f>
        <v>8590.8782031012161</v>
      </c>
      <c r="E12" s="197">
        <f>+IMPD!F19</f>
        <v>8655.5562090261064</v>
      </c>
      <c r="F12" s="197">
        <f>+IMPD!G19</f>
        <v>9015.2206062122787</v>
      </c>
    </row>
    <row r="13" spans="2:6" ht="15.75" x14ac:dyDescent="0.25">
      <c r="B13" s="195" t="s">
        <v>234</v>
      </c>
      <c r="C13" s="197">
        <f>-1519306.89331265/1000</f>
        <v>-1519.3068933126501</v>
      </c>
      <c r="D13" s="197"/>
      <c r="E13" s="197"/>
      <c r="F13" s="197"/>
    </row>
    <row r="14" spans="2:6" x14ac:dyDescent="0.2">
      <c r="B14" s="120"/>
      <c r="C14" s="146"/>
      <c r="D14" s="146"/>
      <c r="E14" s="146"/>
      <c r="F14" s="146"/>
    </row>
    <row r="15" spans="2:6" ht="21" x14ac:dyDescent="0.35">
      <c r="B15" s="147" t="s">
        <v>20</v>
      </c>
      <c r="C15" s="136">
        <f>+C9+C12+C10+C11+C13</f>
        <v>45075.125050399416</v>
      </c>
      <c r="D15" s="136">
        <f>+D9+D12+D10+D11+D14</f>
        <v>50183.085203774077</v>
      </c>
      <c r="E15" s="136">
        <f>+E9+E12+E10+E11+E14</f>
        <v>53465.849724964042</v>
      </c>
      <c r="F15" s="136">
        <f>+F9+F12+F10+F11+F14</f>
        <v>56730.549524928589</v>
      </c>
    </row>
    <row r="16" spans="2:6" ht="14.25" customHeight="1" x14ac:dyDescent="0.35">
      <c r="B16" s="165"/>
      <c r="C16" s="166"/>
      <c r="D16" s="166"/>
      <c r="E16" s="166"/>
      <c r="F16" s="166"/>
    </row>
    <row r="17" spans="2:6" ht="15.75" x14ac:dyDescent="0.25">
      <c r="B17" s="198" t="s">
        <v>75</v>
      </c>
      <c r="C17" s="199">
        <f>1/(1+RETORNO!G9)</f>
        <v>0.91193032852290079</v>
      </c>
      <c r="D17" s="199">
        <f>1/(1+RETORNO!G9)*1/(1+RETORNO!G9)</f>
        <v>0.83161692407988574</v>
      </c>
      <c r="E17" s="199">
        <f>1/(1+RETORNO!G9)*1/(1+RETORNO!G9)*1/(1+RETORNO!G9)</f>
        <v>0.75837669478137448</v>
      </c>
      <c r="F17" s="199">
        <f>1/(1+RETORNO!G9)*1/(1+RETORNO!G9)*1/(1+RETORNO!G9)*1/(1+RETORNO!G9)</f>
        <v>0.69158670841609049</v>
      </c>
    </row>
    <row r="18" spans="2:6" ht="15.75" x14ac:dyDescent="0.25">
      <c r="B18" s="200" t="s">
        <v>76</v>
      </c>
      <c r="C18" s="201">
        <f>+(1+C17)/2</f>
        <v>0.9559651642614504</v>
      </c>
      <c r="D18" s="201">
        <f>+(C17+D17)/2</f>
        <v>0.87177362630139332</v>
      </c>
      <c r="E18" s="201">
        <f>+(D17+E17)/2</f>
        <v>0.79499680943063011</v>
      </c>
      <c r="F18" s="201">
        <f>+(E17+F17)/2</f>
        <v>0.72498170159873254</v>
      </c>
    </row>
    <row r="19" spans="2:6" ht="15.75" x14ac:dyDescent="0.25">
      <c r="B19" s="55"/>
      <c r="C19" s="55"/>
      <c r="D19" s="55"/>
      <c r="E19" s="55"/>
      <c r="F19" s="55"/>
    </row>
    <row r="20" spans="2:6" ht="15.75" x14ac:dyDescent="0.25">
      <c r="B20" s="225" t="s">
        <v>470</v>
      </c>
      <c r="C20" s="194" t="s">
        <v>171</v>
      </c>
      <c r="D20" s="194" t="s">
        <v>172</v>
      </c>
      <c r="E20" s="194" t="s">
        <v>173</v>
      </c>
      <c r="F20" s="194" t="s">
        <v>174</v>
      </c>
    </row>
    <row r="21" spans="2:6" ht="15.75" x14ac:dyDescent="0.25">
      <c r="B21" s="202"/>
      <c r="C21" s="203"/>
      <c r="D21" s="204"/>
      <c r="E21" s="203"/>
      <c r="F21" s="205"/>
    </row>
    <row r="22" spans="2:6" ht="15.75" x14ac:dyDescent="0.25">
      <c r="B22" s="195" t="s">
        <v>37</v>
      </c>
      <c r="C22" s="206">
        <f>+(C9+$C$13/SUM($C$9:$C$12)*C9)*C$18</f>
        <v>25049.949564477036</v>
      </c>
      <c r="D22" s="206">
        <f t="shared" ref="D22:F25" si="0">+D9*D$18</f>
        <v>26367.037896588998</v>
      </c>
      <c r="E22" s="206">
        <f t="shared" si="0"/>
        <v>26137.300125272206</v>
      </c>
      <c r="F22" s="206">
        <f t="shared" si="0"/>
        <v>25399.745157660585</v>
      </c>
    </row>
    <row r="23" spans="2:6" ht="15.75" x14ac:dyDescent="0.25">
      <c r="B23" s="195" t="s">
        <v>19</v>
      </c>
      <c r="C23" s="206">
        <f>+(C10+$C$13/SUM($C$9:$C$12)*C10)*C$18</f>
        <v>9031.4865455375075</v>
      </c>
      <c r="D23" s="206">
        <f t="shared" si="0"/>
        <v>8958.2006198469171</v>
      </c>
      <c r="E23" s="206">
        <f t="shared" si="0"/>
        <v>8576.0134638161253</v>
      </c>
      <c r="F23" s="206">
        <f t="shared" si="0"/>
        <v>8190.420106437592</v>
      </c>
    </row>
    <row r="24" spans="2:6" ht="15.75" x14ac:dyDescent="0.25">
      <c r="B24" s="195" t="s">
        <v>17</v>
      </c>
      <c r="C24" s="206">
        <f>+(C11+$C$13/SUM($C$9:$C$12)*C11)*C$18</f>
        <v>925.79637187902665</v>
      </c>
      <c r="D24" s="206">
        <f t="shared" si="0"/>
        <v>933.75060641886068</v>
      </c>
      <c r="E24" s="206">
        <f t="shared" si="0"/>
        <v>910.72678573237692</v>
      </c>
      <c r="F24" s="206">
        <f t="shared" si="0"/>
        <v>1002.5750877359854</v>
      </c>
    </row>
    <row r="25" spans="2:6" ht="15.75" x14ac:dyDescent="0.25">
      <c r="B25" s="195" t="s">
        <v>14</v>
      </c>
      <c r="C25" s="206">
        <f>+(C12+$C$13/SUM($C$9:$C$12)*C12)*C$18</f>
        <v>8083.0168410169308</v>
      </c>
      <c r="D25" s="206">
        <f t="shared" si="0"/>
        <v>7489.3010442311452</v>
      </c>
      <c r="E25" s="206">
        <f t="shared" si="0"/>
        <v>6881.1395700232351</v>
      </c>
      <c r="F25" s="206">
        <f t="shared" si="0"/>
        <v>6535.8699753797346</v>
      </c>
    </row>
    <row r="26" spans="2:6" x14ac:dyDescent="0.2">
      <c r="B26" s="73"/>
      <c r="C26" s="148"/>
      <c r="D26" s="148"/>
      <c r="E26" s="148"/>
      <c r="F26" s="148"/>
    </row>
    <row r="27" spans="2:6" ht="21" x14ac:dyDescent="0.35">
      <c r="B27" s="147" t="s">
        <v>20</v>
      </c>
      <c r="C27" s="182">
        <f>SUM(C22:C26)</f>
        <v>43090.249322910502</v>
      </c>
      <c r="D27" s="183">
        <f>SUM(D22:D26)</f>
        <v>43748.290167085921</v>
      </c>
      <c r="E27" s="182">
        <f>SUM(E22:E26)</f>
        <v>42505.179944843941</v>
      </c>
      <c r="F27" s="184">
        <f>SUM(F22:F26)</f>
        <v>41128.610327213893</v>
      </c>
    </row>
    <row r="29" spans="2:6" ht="15" x14ac:dyDescent="0.25">
      <c r="B29" s="207" t="s">
        <v>109</v>
      </c>
      <c r="C29" s="208">
        <f>+DEMANDA!E7*'IMP-RESUMEN'!C18</f>
        <v>594837.88355928322</v>
      </c>
      <c r="D29" s="208">
        <f>+DEMANDA!F7*'IMP-RESUMEN'!D18</f>
        <v>562970.18672147708</v>
      </c>
      <c r="E29" s="208">
        <f>+DEMANDA!G7*'IMP-RESUMEN'!E18</f>
        <v>532123.17854728643</v>
      </c>
      <c r="F29" s="208">
        <f>+DEMANDA!H7*'IMP-RESUMEN'!F18</f>
        <v>502490.35533459444</v>
      </c>
    </row>
    <row r="30" spans="2:6" ht="15.75" x14ac:dyDescent="0.25">
      <c r="B30" s="55"/>
    </row>
    <row r="31" spans="2:6" ht="13.5" thickBot="1" x14ac:dyDescent="0.25"/>
    <row r="32" spans="2:6" ht="21.75" thickBot="1" x14ac:dyDescent="0.4">
      <c r="B32" s="249" t="s">
        <v>116</v>
      </c>
      <c r="C32" s="250"/>
      <c r="D32" s="251"/>
    </row>
    <row r="33" spans="2:8" ht="24" customHeight="1" x14ac:dyDescent="0.2">
      <c r="B33" s="254" t="s">
        <v>483</v>
      </c>
      <c r="C33" s="252" t="s">
        <v>64</v>
      </c>
      <c r="D33" s="252" t="s">
        <v>175</v>
      </c>
    </row>
    <row r="34" spans="2:8" ht="21" customHeight="1" thickBot="1" x14ac:dyDescent="0.25">
      <c r="B34" s="255"/>
      <c r="C34" s="253"/>
      <c r="D34" s="253"/>
    </row>
    <row r="35" spans="2:8" ht="21" x14ac:dyDescent="0.35">
      <c r="B35" s="149"/>
      <c r="C35" s="150"/>
      <c r="D35" s="150"/>
    </row>
    <row r="36" spans="2:8" ht="21" x14ac:dyDescent="0.35">
      <c r="B36" s="151" t="s">
        <v>24</v>
      </c>
      <c r="C36" s="152" t="s">
        <v>118</v>
      </c>
      <c r="D36" s="153">
        <f>+C22+D22+E22+F22</f>
        <v>102954.03274399882</v>
      </c>
    </row>
    <row r="37" spans="2:8" ht="21" x14ac:dyDescent="0.35">
      <c r="B37" s="151" t="s">
        <v>11</v>
      </c>
      <c r="C37" s="152" t="s">
        <v>118</v>
      </c>
      <c r="D37" s="153">
        <f>+C23+D23+E23+F23</f>
        <v>34756.120735638142</v>
      </c>
    </row>
    <row r="38" spans="2:8" ht="21" x14ac:dyDescent="0.35">
      <c r="B38" s="151" t="s">
        <v>12</v>
      </c>
      <c r="C38" s="152" t="s">
        <v>118</v>
      </c>
      <c r="D38" s="153">
        <f>+C24+D24+E24+F24</f>
        <v>3772.8488517662499</v>
      </c>
    </row>
    <row r="39" spans="2:8" ht="21" x14ac:dyDescent="0.35">
      <c r="B39" s="151" t="s">
        <v>117</v>
      </c>
      <c r="C39" s="152" t="s">
        <v>118</v>
      </c>
      <c r="D39" s="153">
        <f>SUM(D36:D38)</f>
        <v>141483.00233140323</v>
      </c>
    </row>
    <row r="40" spans="2:8" ht="21.75" thickBot="1" x14ac:dyDescent="0.4">
      <c r="B40" s="151" t="s">
        <v>77</v>
      </c>
      <c r="C40" s="152" t="s">
        <v>118</v>
      </c>
      <c r="D40" s="153">
        <f>+C25+D25+E25+F25</f>
        <v>28989.327430651043</v>
      </c>
    </row>
    <row r="41" spans="2:8" ht="21.75" thickBot="1" x14ac:dyDescent="0.4">
      <c r="B41" s="154" t="s">
        <v>110</v>
      </c>
      <c r="C41" s="155" t="s">
        <v>118</v>
      </c>
      <c r="D41" s="156">
        <f>SUM(D36:D38)+D40</f>
        <v>170472.32976205426</v>
      </c>
    </row>
    <row r="42" spans="2:8" ht="21.75" thickBot="1" x14ac:dyDescent="0.4">
      <c r="B42" s="151" t="s">
        <v>129</v>
      </c>
      <c r="C42" s="152" t="s">
        <v>13</v>
      </c>
      <c r="D42" s="157">
        <f>+C29+D29+E29+F29</f>
        <v>2192421.6041626413</v>
      </c>
    </row>
    <row r="43" spans="2:8" ht="21.75" thickBot="1" x14ac:dyDescent="0.4">
      <c r="B43" s="158" t="s">
        <v>121</v>
      </c>
      <c r="C43" s="159" t="s">
        <v>482</v>
      </c>
      <c r="D43" s="160">
        <f>+D41/D42*1000</f>
        <v>77.755268164839734</v>
      </c>
    </row>
    <row r="44" spans="2:8" ht="21.75" thickBot="1" x14ac:dyDescent="0.4">
      <c r="B44" s="158" t="s">
        <v>122</v>
      </c>
      <c r="C44" s="159" t="s">
        <v>482</v>
      </c>
      <c r="D44" s="160">
        <f>(D41-D40)/D42*1000</f>
        <v>64.532753218074703</v>
      </c>
    </row>
    <row r="46" spans="2:8" hidden="1" x14ac:dyDescent="0.2">
      <c r="C46" s="161"/>
    </row>
    <row r="47" spans="2:8" ht="47.25" hidden="1" x14ac:dyDescent="0.2">
      <c r="C47" s="162" t="s">
        <v>111</v>
      </c>
      <c r="H47" s="36" t="s">
        <v>112</v>
      </c>
    </row>
    <row r="48" spans="2:8" ht="21" hidden="1" x14ac:dyDescent="0.35">
      <c r="C48" s="163" t="s">
        <v>112</v>
      </c>
      <c r="G48" s="164"/>
      <c r="H48" s="36" t="s">
        <v>113</v>
      </c>
    </row>
    <row r="49" spans="2:7" ht="21" hidden="1" x14ac:dyDescent="0.35">
      <c r="G49" s="164"/>
    </row>
    <row r="50" spans="2:7" ht="15.75" x14ac:dyDescent="0.25">
      <c r="B50" s="55" t="s">
        <v>119</v>
      </c>
    </row>
    <row r="51" spans="2:7" ht="15.75" x14ac:dyDescent="0.25">
      <c r="B51" s="55" t="s">
        <v>120</v>
      </c>
    </row>
    <row r="61" spans="2:7" ht="15.75" x14ac:dyDescent="0.25">
      <c r="B61" s="55"/>
    </row>
  </sheetData>
  <sheetProtection password="CCC5" sheet="1" objects="1" scenarios="1"/>
  <mergeCells count="4">
    <mergeCell ref="B32:D32"/>
    <mergeCell ref="D33:D34"/>
    <mergeCell ref="C33:C34"/>
    <mergeCell ref="B33:B34"/>
  </mergeCells>
  <phoneticPr fontId="3" type="noConversion"/>
  <dataValidations count="1">
    <dataValidation type="list" allowBlank="1" showInputMessage="1" showErrorMessage="1" sqref="C48" xr:uid="{00000000-0002-0000-0000-000000000000}">
      <formula1>$H$47:$H$48</formula1>
    </dataValidation>
  </dataValidations>
  <pageMargins left="0.74803149606299213" right="0.74803149606299213" top="0.74803149606299213" bottom="0.55118110236220474" header="0.39370078740157483" footer="0"/>
  <pageSetup scale="64" orientation="landscape" r:id="rId1"/>
  <headerFooter alignWithMargins="0">
    <oddHeader>&amp;R&amp;"Calibri,Normal"&amp;12Anexo D de la Resolución AN No.7655-Elec de 25 de julio de 2014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6">
    <pageSetUpPr fitToPage="1"/>
  </sheetPr>
  <dimension ref="B2:G20"/>
  <sheetViews>
    <sheetView zoomScaleNormal="100" workbookViewId="0">
      <selection activeCell="B38" sqref="B38"/>
    </sheetView>
  </sheetViews>
  <sheetFormatPr baseColWidth="10" defaultRowHeight="12.75" x14ac:dyDescent="0.2"/>
  <cols>
    <col min="1" max="1" width="11.42578125" style="36"/>
    <col min="2" max="2" width="39.5703125" style="36" bestFit="1" customWidth="1"/>
    <col min="3" max="5" width="11.42578125" style="36"/>
    <col min="6" max="6" width="49.42578125" style="36" bestFit="1" customWidth="1"/>
    <col min="7" max="16384" width="11.42578125" style="36"/>
  </cols>
  <sheetData>
    <row r="2" spans="2:7" ht="18.75" x14ac:dyDescent="0.3">
      <c r="B2" s="35"/>
    </row>
    <row r="3" spans="2:7" ht="18.75" x14ac:dyDescent="0.3">
      <c r="B3" s="35" t="s">
        <v>65</v>
      </c>
    </row>
    <row r="4" spans="2:7" ht="15" x14ac:dyDescent="0.25">
      <c r="B4" s="27" t="s">
        <v>51</v>
      </c>
    </row>
    <row r="5" spans="2:7" ht="16.5" thickBot="1" x14ac:dyDescent="0.3">
      <c r="C5" s="37"/>
      <c r="F5" s="38" t="s">
        <v>51</v>
      </c>
    </row>
    <row r="6" spans="2:7" ht="13.5" thickBot="1" x14ac:dyDescent="0.25">
      <c r="B6" s="223" t="s">
        <v>81</v>
      </c>
      <c r="C6" s="224" t="s">
        <v>82</v>
      </c>
      <c r="D6" s="224" t="s">
        <v>82</v>
      </c>
    </row>
    <row r="7" spans="2:7" ht="15" x14ac:dyDescent="0.2">
      <c r="B7" s="39" t="s">
        <v>83</v>
      </c>
      <c r="C7" s="188">
        <f>365.75/10000</f>
        <v>3.6575000000000003E-2</v>
      </c>
      <c r="D7" s="188">
        <f>+C7</f>
        <v>3.6575000000000003E-2</v>
      </c>
      <c r="F7" s="40" t="s">
        <v>99</v>
      </c>
    </row>
    <row r="8" spans="2:7" ht="15.75" thickBot="1" x14ac:dyDescent="0.25">
      <c r="B8" s="41" t="s">
        <v>84</v>
      </c>
      <c r="C8" s="189">
        <v>0.70556234718826394</v>
      </c>
      <c r="D8" s="189">
        <v>0.7272045559994742</v>
      </c>
    </row>
    <row r="9" spans="2:7" ht="15.75" thickBot="1" x14ac:dyDescent="0.25">
      <c r="B9" s="41" t="s">
        <v>85</v>
      </c>
      <c r="C9" s="190">
        <v>6.7000000000000004E-2</v>
      </c>
      <c r="D9" s="190">
        <v>4.1826829268292703E-2</v>
      </c>
      <c r="F9" s="42" t="s">
        <v>26</v>
      </c>
      <c r="G9" s="43">
        <v>9.6574999999999994E-2</v>
      </c>
    </row>
    <row r="10" spans="2:7" ht="15" x14ac:dyDescent="0.2">
      <c r="B10" s="41" t="s">
        <v>86</v>
      </c>
      <c r="C10" s="191">
        <v>1.98649670261512E-2</v>
      </c>
      <c r="D10" s="191">
        <f>+C10</f>
        <v>1.98649670261512E-2</v>
      </c>
    </row>
    <row r="11" spans="2:7" ht="15" x14ac:dyDescent="0.2">
      <c r="B11" s="44" t="s">
        <v>87</v>
      </c>
      <c r="C11" s="191">
        <f>+C7+C8*C9+C10</f>
        <v>0.10371264428776489</v>
      </c>
      <c r="D11" s="191">
        <f>+D7+D8*D9+D10</f>
        <v>8.6856627833065816E-2</v>
      </c>
      <c r="F11" s="40" t="s">
        <v>74</v>
      </c>
    </row>
    <row r="12" spans="2:7" ht="15.75" thickBot="1" x14ac:dyDescent="0.25">
      <c r="B12" s="45" t="s">
        <v>88</v>
      </c>
      <c r="C12" s="190">
        <v>7.6439967026151204E-2</v>
      </c>
      <c r="D12" s="190">
        <v>6.2532385359484605E-2</v>
      </c>
    </row>
    <row r="13" spans="2:7" ht="15.75" thickBot="1" x14ac:dyDescent="0.25">
      <c r="B13" s="45" t="s">
        <v>89</v>
      </c>
      <c r="C13" s="191">
        <f>C12*0.7</f>
        <v>5.350797691830584E-2</v>
      </c>
      <c r="D13" s="191">
        <f>D12*0.7</f>
        <v>4.3772669751639223E-2</v>
      </c>
      <c r="F13" s="42" t="s">
        <v>26</v>
      </c>
      <c r="G13" s="43">
        <f>C20</f>
        <v>8.8782736607891502E-2</v>
      </c>
    </row>
    <row r="14" spans="2:7" ht="15.75" thickBot="1" x14ac:dyDescent="0.25">
      <c r="B14" s="41" t="s">
        <v>90</v>
      </c>
      <c r="C14" s="192">
        <v>0.5</v>
      </c>
      <c r="D14" s="192">
        <v>0.56600000000000006</v>
      </c>
      <c r="F14" s="42" t="s">
        <v>26</v>
      </c>
      <c r="G14" s="43">
        <f>+D20</f>
        <v>6.4902542095242058E-2</v>
      </c>
    </row>
    <row r="15" spans="2:7" ht="15" x14ac:dyDescent="0.2">
      <c r="B15" s="41" t="s">
        <v>91</v>
      </c>
      <c r="C15" s="192">
        <f>1-C14</f>
        <v>0.5</v>
      </c>
      <c r="D15" s="192">
        <f>1-D14</f>
        <v>0.43399999999999994</v>
      </c>
    </row>
    <row r="16" spans="2:7" ht="15" x14ac:dyDescent="0.2">
      <c r="B16" s="46" t="s">
        <v>92</v>
      </c>
      <c r="C16" s="191">
        <f>+C11*C15+C13*C14</f>
        <v>7.861031060303536E-2</v>
      </c>
      <c r="D16" s="191">
        <f>+D11*D15+D13*D14</f>
        <v>6.2471107558978362E-2</v>
      </c>
    </row>
    <row r="17" spans="2:4" ht="15" x14ac:dyDescent="0.2">
      <c r="B17" s="46" t="s">
        <v>93</v>
      </c>
      <c r="C17" s="191">
        <f>+C16/0.7</f>
        <v>0.11230044371862195</v>
      </c>
      <c r="D17" s="191">
        <f>+D16/0.7</f>
        <v>8.9244439369969092E-2</v>
      </c>
    </row>
    <row r="18" spans="2:4" ht="15" x14ac:dyDescent="0.2">
      <c r="B18" s="41" t="s">
        <v>94</v>
      </c>
      <c r="C18" s="190">
        <v>2.1600000000000001E-2</v>
      </c>
      <c r="D18" s="190">
        <v>2.28583333333333E-2</v>
      </c>
    </row>
    <row r="19" spans="2:4" ht="15" x14ac:dyDescent="0.2">
      <c r="B19" s="47" t="s">
        <v>95</v>
      </c>
      <c r="C19" s="191">
        <f>+(C16-C18)/(1+C18)</f>
        <v>5.5804924239462955E-2</v>
      </c>
      <c r="D19" s="191">
        <f>+(D16-D18)/(1+D18)</f>
        <v>3.872752749303348E-2</v>
      </c>
    </row>
    <row r="20" spans="2:4" ht="15.75" thickBot="1" x14ac:dyDescent="0.25">
      <c r="B20" s="48" t="s">
        <v>96</v>
      </c>
      <c r="C20" s="193">
        <f>+(C17-C18)/(1+C18)</f>
        <v>8.8782736607891502E-2</v>
      </c>
      <c r="D20" s="193">
        <f>+(D17-D18)/(1+D18)</f>
        <v>6.4902542095242058E-2</v>
      </c>
    </row>
  </sheetData>
  <sheetProtection password="CCC5" sheet="1" objects="1" scenarios="1"/>
  <phoneticPr fontId="3" type="noConversion"/>
  <pageMargins left="0.74803149606299213" right="0.74803149606299213" top="0.74803149606299213" bottom="0.55118110236220474" header="0.39370078740157483" footer="0"/>
  <pageSetup scale="84" orientation="landscape" r:id="rId1"/>
  <headerFooter alignWithMargins="0">
    <oddHeader>&amp;R&amp;"Calibri,Normal"&amp;12Anexo D de la Resolución AN No.7655-Elec de 25 de julio de 2014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8">
    <pageSetUpPr fitToPage="1"/>
  </sheetPr>
  <dimension ref="B2:G21"/>
  <sheetViews>
    <sheetView zoomScaleNormal="100" workbookViewId="0">
      <selection activeCell="B38" sqref="B38"/>
    </sheetView>
  </sheetViews>
  <sheetFormatPr baseColWidth="10" defaultRowHeight="12.75" x14ac:dyDescent="0.2"/>
  <cols>
    <col min="1" max="1" width="1.7109375" style="36" customWidth="1"/>
    <col min="2" max="2" width="24.5703125" style="36" customWidth="1"/>
    <col min="3" max="3" width="20.42578125" style="36" customWidth="1"/>
    <col min="4" max="7" width="18.5703125" style="36" bestFit="1" customWidth="1"/>
    <col min="8" max="8" width="15.7109375" style="36" customWidth="1"/>
    <col min="9" max="16384" width="11.42578125" style="36"/>
  </cols>
  <sheetData>
    <row r="2" spans="2:7" ht="18.75" x14ac:dyDescent="0.3">
      <c r="B2" s="35" t="s">
        <v>65</v>
      </c>
    </row>
    <row r="4" spans="2:7" ht="15.75" x14ac:dyDescent="0.25">
      <c r="B4" s="38" t="s">
        <v>124</v>
      </c>
    </row>
    <row r="5" spans="2:7" ht="15.75" x14ac:dyDescent="0.25">
      <c r="B5" s="55" t="s">
        <v>115</v>
      </c>
    </row>
    <row r="7" spans="2:7" x14ac:dyDescent="0.2">
      <c r="B7" s="256" t="s">
        <v>24</v>
      </c>
      <c r="C7" s="257"/>
      <c r="D7" s="50" t="s">
        <v>171</v>
      </c>
      <c r="E7" s="50" t="s">
        <v>172</v>
      </c>
      <c r="F7" s="50" t="s">
        <v>173</v>
      </c>
      <c r="G7" s="50" t="s">
        <v>174</v>
      </c>
    </row>
    <row r="8" spans="2:7" x14ac:dyDescent="0.2">
      <c r="B8" s="258"/>
      <c r="C8" s="259"/>
      <c r="D8" s="57" t="s">
        <v>123</v>
      </c>
      <c r="E8" s="57" t="s">
        <v>123</v>
      </c>
      <c r="F8" s="57" t="s">
        <v>123</v>
      </c>
      <c r="G8" s="57" t="s">
        <v>123</v>
      </c>
    </row>
    <row r="9" spans="2:7" x14ac:dyDescent="0.2">
      <c r="B9" s="58"/>
      <c r="C9" s="83"/>
      <c r="D9" s="83"/>
      <c r="E9" s="83"/>
      <c r="F9" s="83"/>
      <c r="G9" s="83"/>
    </row>
    <row r="10" spans="2:7" x14ac:dyDescent="0.2">
      <c r="B10" s="58" t="s">
        <v>6</v>
      </c>
      <c r="C10" s="83" t="s">
        <v>35</v>
      </c>
      <c r="D10" s="64">
        <f>+ACTIVOS!G15*RETORNO!$G$9</f>
        <v>7602.2836786078033</v>
      </c>
      <c r="E10" s="64">
        <f>+ACTIVOS!H15*RETORNO!$G$9</f>
        <v>9421.2916229675848</v>
      </c>
      <c r="F10" s="64">
        <f>+ACTIVOS!I15*RETORNO!$G$9</f>
        <v>10820.581350141641</v>
      </c>
      <c r="G10" s="64">
        <f>+ACTIVOS!J15*RETORNO!$G$9</f>
        <v>11845.438528391998</v>
      </c>
    </row>
    <row r="11" spans="2:7" x14ac:dyDescent="0.2">
      <c r="B11" s="58" t="s">
        <v>7</v>
      </c>
      <c r="C11" s="83" t="s">
        <v>36</v>
      </c>
      <c r="D11" s="64">
        <f>+ACTIVOS!G10*'PERDIDAS y OTROS'!E10</f>
        <v>4565.8053895574067</v>
      </c>
      <c r="E11" s="64">
        <f>+ACTIVOS!H10*'PERDIDAS y OTROS'!F10</f>
        <v>5278.5258942091259</v>
      </c>
      <c r="F11" s="64">
        <f>+ACTIVOS!I10*'PERDIDAS y OTROS'!G10</f>
        <v>5880.587109747079</v>
      </c>
      <c r="G11" s="64">
        <f>+ACTIVOS!J10*'PERDIDAS y OTROS'!H10</f>
        <v>6382.9004413675193</v>
      </c>
    </row>
    <row r="12" spans="2:7" x14ac:dyDescent="0.2">
      <c r="B12" s="58" t="s">
        <v>8</v>
      </c>
      <c r="C12" s="83" t="s">
        <v>34</v>
      </c>
      <c r="D12" s="64">
        <f>+REGRESIONES!D57/1000</f>
        <v>8051.1475258498731</v>
      </c>
      <c r="E12" s="64">
        <f>+REGRESIONES!E57/1000</f>
        <v>8401.596955149811</v>
      </c>
      <c r="F12" s="64">
        <f>+REGRESIONES!F57/1000</f>
        <v>8755.1453876195228</v>
      </c>
      <c r="G12" s="64">
        <f>+REGRESIONES!G57/1000</f>
        <v>9109.3016485843236</v>
      </c>
    </row>
    <row r="13" spans="2:7" x14ac:dyDescent="0.2">
      <c r="B13" s="58" t="s">
        <v>9</v>
      </c>
      <c r="C13" s="83" t="s">
        <v>32</v>
      </c>
      <c r="D13" s="64">
        <f>+REGRESIONES!D59/1000</f>
        <v>6867.8234373332843</v>
      </c>
      <c r="E13" s="64">
        <f>+REGRESIONES!E59/1000</f>
        <v>7143.8660696582065</v>
      </c>
      <c r="F13" s="64">
        <f>+REGRESIONES!F59/1000</f>
        <v>7420.9251743584164</v>
      </c>
      <c r="G13" s="64">
        <f>+REGRESIONES!G59/1000</f>
        <v>7697.3748884599308</v>
      </c>
    </row>
    <row r="14" spans="2:7" x14ac:dyDescent="0.2">
      <c r="B14" s="58"/>
      <c r="C14" s="83"/>
      <c r="D14" s="60"/>
      <c r="E14" s="60"/>
      <c r="F14" s="60"/>
      <c r="G14" s="60"/>
    </row>
    <row r="15" spans="2:7" ht="15.75" x14ac:dyDescent="0.25">
      <c r="B15" s="260" t="s">
        <v>37</v>
      </c>
      <c r="C15" s="261"/>
      <c r="D15" s="226">
        <f>SUM(D10:D14)</f>
        <v>27087.060031348366</v>
      </c>
      <c r="E15" s="226">
        <f>SUM(E10:E14)</f>
        <v>30245.280541984728</v>
      </c>
      <c r="F15" s="227">
        <f>SUM(F10:F14)</f>
        <v>32877.239021866662</v>
      </c>
      <c r="G15" s="226">
        <f>SUM(G10:G14)</f>
        <v>35035.015506803778</v>
      </c>
    </row>
    <row r="16" spans="2:7" x14ac:dyDescent="0.2">
      <c r="B16" s="58"/>
      <c r="C16" s="83"/>
      <c r="D16" s="64"/>
      <c r="E16" s="64"/>
      <c r="F16" s="64"/>
      <c r="G16" s="64"/>
    </row>
    <row r="17" spans="2:7" x14ac:dyDescent="0.2">
      <c r="B17" s="58" t="s">
        <v>10</v>
      </c>
      <c r="C17" s="58" t="s">
        <v>38</v>
      </c>
      <c r="D17" s="64">
        <f>+'PERDIDAS y OTROS'!E9*'PERDIDAS y OTROS'!E8*DEMANDA!E8/1000</f>
        <v>8740.3434423480176</v>
      </c>
      <c r="E17" s="64">
        <f>+'PERDIDAS y OTROS'!F9*'PERDIDAS y OTROS'!F8*DEMANDA!F8/1000</f>
        <v>8590.8782031012161</v>
      </c>
      <c r="F17" s="64">
        <f>+'PERDIDAS y OTROS'!G9*'PERDIDAS y OTROS'!G8*DEMANDA!G8/1000</f>
        <v>8655.5562090261064</v>
      </c>
      <c r="G17" s="64">
        <f>+'PERDIDAS y OTROS'!H9*'PERDIDAS y OTROS'!H8*DEMANDA!H8/1000</f>
        <v>9015.2206062122787</v>
      </c>
    </row>
    <row r="18" spans="2:7" x14ac:dyDescent="0.2">
      <c r="B18" s="58"/>
      <c r="C18" s="83"/>
      <c r="D18" s="64"/>
      <c r="E18" s="64"/>
      <c r="F18" s="64"/>
      <c r="G18" s="64"/>
    </row>
    <row r="19" spans="2:7" ht="15.75" x14ac:dyDescent="0.25">
      <c r="B19" s="260" t="s">
        <v>14</v>
      </c>
      <c r="C19" s="261"/>
      <c r="D19" s="226">
        <f>+D17</f>
        <v>8740.3434423480176</v>
      </c>
      <c r="E19" s="226">
        <f>+E17</f>
        <v>8590.8782031012161</v>
      </c>
      <c r="F19" s="227">
        <f>+F17</f>
        <v>8655.5562090261064</v>
      </c>
      <c r="G19" s="226">
        <f>+G17</f>
        <v>9015.2206062122787</v>
      </c>
    </row>
    <row r="20" spans="2:7" x14ac:dyDescent="0.2">
      <c r="B20" s="58"/>
      <c r="C20" s="83"/>
      <c r="D20" s="64"/>
      <c r="E20" s="64"/>
      <c r="F20" s="64"/>
      <c r="G20" s="64"/>
    </row>
    <row r="21" spans="2:7" ht="21" x14ac:dyDescent="0.35">
      <c r="B21" s="262" t="s">
        <v>18</v>
      </c>
      <c r="C21" s="263"/>
      <c r="D21" s="136">
        <f>+D15+D19</f>
        <v>35827.40347369638</v>
      </c>
      <c r="E21" s="136">
        <f>+E15+E19</f>
        <v>38836.158745085944</v>
      </c>
      <c r="F21" s="136">
        <f>+F15+F19</f>
        <v>41532.795230892771</v>
      </c>
      <c r="G21" s="136">
        <f>+G15+G19</f>
        <v>44050.236113016057</v>
      </c>
    </row>
  </sheetData>
  <sheetProtection password="CCC5" sheet="1" objects="1" scenarios="1"/>
  <mergeCells count="4">
    <mergeCell ref="B7:C8"/>
    <mergeCell ref="B15:C15"/>
    <mergeCell ref="B19:C19"/>
    <mergeCell ref="B21:C21"/>
  </mergeCells>
  <phoneticPr fontId="3" type="noConversion"/>
  <pageMargins left="0.74803149606299213" right="0.74803149606299213" top="0.74803149606299213" bottom="0.55118110236220474" header="0.39370078740157483" footer="0"/>
  <pageSetup orientation="landscape" r:id="rId1"/>
  <headerFooter alignWithMargins="0">
    <oddHeader>&amp;R&amp;"Calibri,Normal"&amp;12Anexo D de la Resolución AN No.7655-Elec de 25 de julio de 2014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9">
    <pageSetUpPr fitToPage="1"/>
  </sheetPr>
  <dimension ref="B2:G19"/>
  <sheetViews>
    <sheetView zoomScaleNormal="100" workbookViewId="0">
      <selection activeCell="B38" sqref="B38"/>
    </sheetView>
  </sheetViews>
  <sheetFormatPr baseColWidth="10" defaultRowHeight="12.75" x14ac:dyDescent="0.2"/>
  <cols>
    <col min="1" max="1" width="1.5703125" style="36" customWidth="1"/>
    <col min="2" max="2" width="23.7109375" style="36" customWidth="1"/>
    <col min="3" max="3" width="12.28515625" style="36" customWidth="1"/>
    <col min="4" max="7" width="18.5703125" style="36" bestFit="1" customWidth="1"/>
    <col min="8" max="8" width="15.7109375" style="36" customWidth="1"/>
    <col min="9" max="16384" width="11.42578125" style="36"/>
  </cols>
  <sheetData>
    <row r="2" spans="2:7" ht="18.75" x14ac:dyDescent="0.3">
      <c r="B2" s="35" t="s">
        <v>65</v>
      </c>
    </row>
    <row r="4" spans="2:7" ht="15.75" x14ac:dyDescent="0.25">
      <c r="B4" s="38" t="s">
        <v>125</v>
      </c>
    </row>
    <row r="5" spans="2:7" ht="15.75" x14ac:dyDescent="0.25">
      <c r="B5" s="55" t="s">
        <v>115</v>
      </c>
    </row>
    <row r="6" spans="2:7" x14ac:dyDescent="0.2">
      <c r="B6" s="40"/>
    </row>
    <row r="7" spans="2:7" x14ac:dyDescent="0.2">
      <c r="B7" s="264" t="s">
        <v>15</v>
      </c>
      <c r="C7" s="265"/>
      <c r="D7" s="50" t="s">
        <v>171</v>
      </c>
      <c r="E7" s="50" t="s">
        <v>172</v>
      </c>
      <c r="F7" s="50" t="s">
        <v>173</v>
      </c>
      <c r="G7" s="50" t="s">
        <v>174</v>
      </c>
    </row>
    <row r="8" spans="2:7" x14ac:dyDescent="0.2">
      <c r="B8" s="266"/>
      <c r="C8" s="267"/>
      <c r="D8" s="57" t="s">
        <v>123</v>
      </c>
      <c r="E8" s="57" t="s">
        <v>123</v>
      </c>
      <c r="F8" s="57" t="s">
        <v>123</v>
      </c>
      <c r="G8" s="57" t="s">
        <v>123</v>
      </c>
    </row>
    <row r="9" spans="2:7" x14ac:dyDescent="0.2">
      <c r="B9" s="120"/>
      <c r="C9" s="83"/>
      <c r="D9" s="83"/>
      <c r="E9" s="83"/>
      <c r="F9" s="83"/>
      <c r="G9" s="83"/>
    </row>
    <row r="10" spans="2:7" x14ac:dyDescent="0.2">
      <c r="B10" s="58" t="s">
        <v>6</v>
      </c>
      <c r="C10" s="83" t="s">
        <v>42</v>
      </c>
      <c r="D10" s="64">
        <f>+ACTIVOS!G16*RETORNO!$G$9</f>
        <v>444.0670689650002</v>
      </c>
      <c r="E10" s="64">
        <f>+ACTIVOS!H16*RETORNO!$G$9</f>
        <v>479.44330179674643</v>
      </c>
      <c r="F10" s="64">
        <f>+ACTIVOS!I16*RETORNO!$G$9</f>
        <v>511.12528776378008</v>
      </c>
      <c r="G10" s="64">
        <f>+ACTIVOS!J16*RETORNO!$G$9</f>
        <v>538.55872267129325</v>
      </c>
    </row>
    <row r="11" spans="2:7" x14ac:dyDescent="0.2">
      <c r="B11" s="58" t="s">
        <v>7</v>
      </c>
      <c r="C11" s="83" t="s">
        <v>43</v>
      </c>
      <c r="D11" s="64">
        <f>+ACTIVOS!G11*'PERDIDAS y OTROS'!E11</f>
        <v>533.60061026759388</v>
      </c>
      <c r="E11" s="64">
        <f>+ACTIVOS!H11*'PERDIDAS y OTROS'!F11</f>
        <v>578.31291193893992</v>
      </c>
      <c r="F11" s="64">
        <f>+ACTIVOS!I11*'PERDIDAS y OTROS'!G11</f>
        <v>623.34616516698702</v>
      </c>
      <c r="G11" s="64">
        <f>+ACTIVOS!J11*'PERDIDAS y OTROS'!H11</f>
        <v>668.43114126313731</v>
      </c>
    </row>
    <row r="12" spans="2:7" x14ac:dyDescent="0.2">
      <c r="B12" s="58" t="s">
        <v>44</v>
      </c>
      <c r="C12" s="83" t="s">
        <v>25</v>
      </c>
      <c r="D12" s="64">
        <f>+REGRESIONES!D58/1000</f>
        <v>8788.2768629554212</v>
      </c>
      <c r="E12" s="64">
        <f>+REGRESIONES!E58/1000</f>
        <v>9218.0772705292402</v>
      </c>
      <c r="F12" s="64">
        <f>+REGRESIONES!F58/1000</f>
        <v>9653.0101596787135</v>
      </c>
      <c r="G12" s="64">
        <f>+REGRESIONES!G58/1000</f>
        <v>10090.42645481685</v>
      </c>
    </row>
    <row r="13" spans="2:7" x14ac:dyDescent="0.2">
      <c r="B13" s="58"/>
      <c r="C13" s="83"/>
      <c r="D13" s="64"/>
      <c r="E13" s="64"/>
      <c r="F13" s="64"/>
      <c r="G13" s="64"/>
    </row>
    <row r="14" spans="2:7" ht="21" x14ac:dyDescent="0.35">
      <c r="B14" s="268" t="s">
        <v>16</v>
      </c>
      <c r="C14" s="268"/>
      <c r="D14" s="136">
        <f>+D10+D11+D12</f>
        <v>9765.9445421880155</v>
      </c>
      <c r="E14" s="136">
        <f>+E10+E11+E12</f>
        <v>10275.833484264927</v>
      </c>
      <c r="F14" s="136">
        <f>+F10+F11+F12</f>
        <v>10787.481612609481</v>
      </c>
      <c r="G14" s="136">
        <f>+G10+G11+G12</f>
        <v>11297.41631875128</v>
      </c>
    </row>
    <row r="17" spans="4:7" x14ac:dyDescent="0.2">
      <c r="D17" s="125"/>
      <c r="E17" s="125"/>
      <c r="F17" s="125"/>
      <c r="G17" s="125"/>
    </row>
    <row r="18" spans="4:7" x14ac:dyDescent="0.2">
      <c r="D18" s="125"/>
      <c r="E18" s="125"/>
      <c r="F18" s="125"/>
      <c r="G18" s="125"/>
    </row>
    <row r="19" spans="4:7" x14ac:dyDescent="0.2">
      <c r="D19" s="143"/>
      <c r="E19" s="143"/>
      <c r="F19" s="143"/>
      <c r="G19" s="143"/>
    </row>
  </sheetData>
  <sheetProtection password="CCC5" sheet="1" objects="1" scenarios="1"/>
  <mergeCells count="2">
    <mergeCell ref="B7:C8"/>
    <mergeCell ref="B14:C14"/>
  </mergeCells>
  <phoneticPr fontId="3" type="noConversion"/>
  <pageMargins left="0.74803149606299213" right="0.74803149606299213" top="0.74803149606299213" bottom="0.55118110236220474" header="0.39370078740157483" footer="0"/>
  <pageSetup orientation="landscape" r:id="rId1"/>
  <headerFooter alignWithMargins="0">
    <oddHeader>&amp;R&amp;"Calibri,Normal"&amp;12Anexo D de la Resolución AN No.7655-Elec de 25 de julio de 2014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0">
    <pageSetUpPr fitToPage="1"/>
  </sheetPr>
  <dimension ref="B2:H25"/>
  <sheetViews>
    <sheetView topLeftCell="A7" zoomScaleNormal="100" workbookViewId="0">
      <selection activeCell="B38" sqref="B38"/>
    </sheetView>
  </sheetViews>
  <sheetFormatPr baseColWidth="10" defaultRowHeight="12.75" x14ac:dyDescent="0.2"/>
  <cols>
    <col min="1" max="1" width="1.42578125" style="36" customWidth="1"/>
    <col min="2" max="2" width="27.85546875" style="36" customWidth="1"/>
    <col min="3" max="3" width="15" style="36" customWidth="1"/>
    <col min="4" max="7" width="18.5703125" style="36" bestFit="1" customWidth="1"/>
    <col min="8" max="8" width="15.7109375" style="36" customWidth="1"/>
    <col min="9" max="16384" width="11.42578125" style="36"/>
  </cols>
  <sheetData>
    <row r="2" spans="2:7" ht="18.75" x14ac:dyDescent="0.3">
      <c r="B2" s="35" t="s">
        <v>65</v>
      </c>
    </row>
    <row r="4" spans="2:7" ht="15.75" x14ac:dyDescent="0.25">
      <c r="B4" s="38" t="s">
        <v>126</v>
      </c>
    </row>
    <row r="5" spans="2:7" ht="15.75" x14ac:dyDescent="0.25">
      <c r="B5" s="55" t="s">
        <v>115</v>
      </c>
    </row>
    <row r="7" spans="2:7" x14ac:dyDescent="0.2">
      <c r="B7" s="269" t="s">
        <v>12</v>
      </c>
      <c r="C7" s="269"/>
      <c r="D7" s="50" t="s">
        <v>171</v>
      </c>
      <c r="E7" s="50" t="s">
        <v>172</v>
      </c>
      <c r="F7" s="50" t="s">
        <v>173</v>
      </c>
      <c r="G7" s="50" t="s">
        <v>174</v>
      </c>
    </row>
    <row r="8" spans="2:7" x14ac:dyDescent="0.2">
      <c r="B8" s="269"/>
      <c r="C8" s="269"/>
      <c r="D8" s="57" t="s">
        <v>123</v>
      </c>
      <c r="E8" s="57" t="s">
        <v>123</v>
      </c>
      <c r="F8" s="57" t="s">
        <v>123</v>
      </c>
      <c r="G8" s="57" t="s">
        <v>123</v>
      </c>
    </row>
    <row r="9" spans="2:7" x14ac:dyDescent="0.2">
      <c r="B9" s="58"/>
      <c r="C9" s="83"/>
      <c r="D9" s="83"/>
      <c r="E9" s="83"/>
      <c r="F9" s="83"/>
      <c r="G9" s="83"/>
    </row>
    <row r="10" spans="2:7" x14ac:dyDescent="0.2">
      <c r="B10" s="58" t="s">
        <v>6</v>
      </c>
      <c r="C10" s="83" t="s">
        <v>45</v>
      </c>
      <c r="D10" s="64">
        <f>+ACTIVOS!G17*RETORNO!$G$9</f>
        <v>468.56677858451326</v>
      </c>
      <c r="E10" s="64">
        <f>+ACTIVOS!H17*RETORNO!$G$9</f>
        <v>506.62001602219487</v>
      </c>
      <c r="F10" s="64">
        <f>+ACTIVOS!I17*RETORNO!$G$9</f>
        <v>546.47481059018912</v>
      </c>
      <c r="G10" s="64">
        <f>+ACTIVOS!J17*RETORNO!$G$9</f>
        <v>706.1525438074334</v>
      </c>
    </row>
    <row r="11" spans="2:7" x14ac:dyDescent="0.2">
      <c r="B11" s="58" t="s">
        <v>7</v>
      </c>
      <c r="C11" s="83" t="s">
        <v>46</v>
      </c>
      <c r="D11" s="64">
        <f>+ACTIVOS!G12*'PERDIDAS y OTROS'!E12</f>
        <v>331.34030003241872</v>
      </c>
      <c r="E11" s="64">
        <f>+ACTIVOS!H12*'PERDIDAS y OTROS'!F12</f>
        <v>355.90404503241871</v>
      </c>
      <c r="F11" s="64">
        <f>+ACTIVOS!I12*'PERDIDAS y OTROS'!G12</f>
        <v>381.93132503241873</v>
      </c>
      <c r="G11" s="64">
        <f>+ACTIVOS!J12*'PERDIDAS y OTROS'!H12</f>
        <v>450.85566503241876</v>
      </c>
    </row>
    <row r="12" spans="2:7" x14ac:dyDescent="0.2">
      <c r="B12" s="58" t="s">
        <v>8</v>
      </c>
      <c r="C12" s="83" t="s">
        <v>47</v>
      </c>
      <c r="D12" s="72">
        <f>$D$25*(D24+E24)/2/1000</f>
        <v>201.17684921073823</v>
      </c>
      <c r="E12" s="72">
        <f>$D$25*(E24+F24)/2/1000</f>
        <v>208.56891336858871</v>
      </c>
      <c r="F12" s="72">
        <f>$D$25*(F24+G24)/2/1000</f>
        <v>217.16674583918277</v>
      </c>
      <c r="G12" s="72">
        <f>$D$25*(G24+H24)/2/1000</f>
        <v>225.88888432139984</v>
      </c>
    </row>
    <row r="13" spans="2:7" x14ac:dyDescent="0.2">
      <c r="B13" s="58"/>
      <c r="C13" s="83"/>
      <c r="D13" s="64"/>
      <c r="E13" s="64"/>
      <c r="F13" s="64"/>
      <c r="G13" s="64"/>
    </row>
    <row r="14" spans="2:7" ht="21" x14ac:dyDescent="0.35">
      <c r="B14" s="268" t="s">
        <v>17</v>
      </c>
      <c r="C14" s="268"/>
      <c r="D14" s="136">
        <f>+D10+D11+D12</f>
        <v>1001.0839278276703</v>
      </c>
      <c r="E14" s="136">
        <f t="shared" ref="E14:G14" si="0">+E10+E11+E12</f>
        <v>1071.0929744232023</v>
      </c>
      <c r="F14" s="136">
        <f t="shared" si="0"/>
        <v>1145.5728814617905</v>
      </c>
      <c r="G14" s="136">
        <f t="shared" si="0"/>
        <v>1382.8970931612521</v>
      </c>
    </row>
    <row r="18" spans="2:8" x14ac:dyDescent="0.2">
      <c r="E18" s="137"/>
    </row>
    <row r="23" spans="2:8" x14ac:dyDescent="0.2">
      <c r="D23" s="138">
        <v>41791</v>
      </c>
      <c r="E23" s="138">
        <v>42156</v>
      </c>
      <c r="F23" s="138">
        <v>42522</v>
      </c>
      <c r="G23" s="138">
        <v>42887</v>
      </c>
      <c r="H23" s="138">
        <v>43252</v>
      </c>
    </row>
    <row r="24" spans="2:8" ht="15" x14ac:dyDescent="0.25">
      <c r="B24" s="139" t="s">
        <v>97</v>
      </c>
      <c r="C24" s="100"/>
      <c r="D24" s="140">
        <v>47795</v>
      </c>
      <c r="E24" s="140">
        <v>49309</v>
      </c>
      <c r="F24" s="140">
        <v>51363</v>
      </c>
      <c r="G24" s="140">
        <v>53459</v>
      </c>
      <c r="H24" s="140">
        <v>55573</v>
      </c>
    </row>
    <row r="25" spans="2:8" ht="15" x14ac:dyDescent="0.25">
      <c r="B25" s="141" t="s">
        <v>98</v>
      </c>
      <c r="C25" s="100"/>
      <c r="D25" s="142">
        <v>4.1435337207682119</v>
      </c>
    </row>
  </sheetData>
  <sheetProtection password="CCC5" sheet="1" objects="1" scenarios="1"/>
  <mergeCells count="2">
    <mergeCell ref="B7:C8"/>
    <mergeCell ref="B14:C14"/>
  </mergeCells>
  <phoneticPr fontId="3" type="noConversion"/>
  <pageMargins left="0.74803149606299213" right="0.74803149606299213" top="0.74803149606299213" bottom="0.55118110236220474" header="0.39370078740157483" footer="0"/>
  <pageSetup scale="92" orientation="landscape" r:id="rId1"/>
  <headerFooter alignWithMargins="0">
    <oddHeader>&amp;R&amp;"Calibri,Normal"&amp;12Anexo D de la Resolución AN No.7655-Elec de 25 de julio de 2014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2:I16"/>
  <sheetViews>
    <sheetView zoomScaleNormal="100" workbookViewId="0">
      <selection activeCell="B38" sqref="B38"/>
    </sheetView>
  </sheetViews>
  <sheetFormatPr baseColWidth="10" defaultRowHeight="12.75" x14ac:dyDescent="0.2"/>
  <cols>
    <col min="1" max="1" width="1.42578125" style="36" customWidth="1"/>
    <col min="2" max="2" width="24.7109375" style="36" customWidth="1"/>
    <col min="3" max="3" width="11.42578125" style="36"/>
    <col min="4" max="4" width="10.28515625" style="36" customWidth="1"/>
    <col min="5" max="8" width="15.7109375" style="36" customWidth="1"/>
    <col min="9" max="9" width="15.42578125" style="36" bestFit="1" customWidth="1"/>
    <col min="10" max="16384" width="11.42578125" style="36"/>
  </cols>
  <sheetData>
    <row r="2" spans="2:9" ht="18.75" x14ac:dyDescent="0.3">
      <c r="B2" s="35"/>
    </row>
    <row r="3" spans="2:9" ht="18.75" x14ac:dyDescent="0.3">
      <c r="B3" s="35" t="s">
        <v>65</v>
      </c>
    </row>
    <row r="5" spans="2:9" x14ac:dyDescent="0.2">
      <c r="B5" s="122" t="s">
        <v>2</v>
      </c>
      <c r="C5" s="57"/>
      <c r="D5" s="56" t="s">
        <v>70</v>
      </c>
      <c r="E5" s="57" t="s">
        <v>171</v>
      </c>
      <c r="F5" s="57" t="s">
        <v>172</v>
      </c>
      <c r="G5" s="57" t="s">
        <v>173</v>
      </c>
      <c r="H5" s="57" t="s">
        <v>174</v>
      </c>
      <c r="I5" s="57" t="s">
        <v>67</v>
      </c>
    </row>
    <row r="6" spans="2:9" x14ac:dyDescent="0.2">
      <c r="B6" s="58" t="s">
        <v>3</v>
      </c>
      <c r="C6" s="123" t="s">
        <v>78</v>
      </c>
      <c r="D6" s="124">
        <f>+REGRESIONES!D15</f>
        <v>116.58937317090542</v>
      </c>
      <c r="E6" s="128">
        <f>+REGRESIONES!E15</f>
        <v>120.87306931481294</v>
      </c>
      <c r="F6" s="128">
        <f>+REGRESIONES!F15</f>
        <v>125.31862891160313</v>
      </c>
      <c r="G6" s="128">
        <f>+REGRESIONES!G15</f>
        <v>130.0356432945035</v>
      </c>
      <c r="H6" s="128">
        <f>+REGRESIONES!H15</f>
        <v>134.8474119948923</v>
      </c>
      <c r="I6" s="119">
        <f>(H6/D6)^(1/4)-1</f>
        <v>3.7040964928243714E-2</v>
      </c>
    </row>
    <row r="7" spans="2:9" x14ac:dyDescent="0.2">
      <c r="B7" s="126" t="s">
        <v>233</v>
      </c>
      <c r="C7" s="123" t="s">
        <v>4</v>
      </c>
      <c r="D7" s="127">
        <v>599633.81522980437</v>
      </c>
      <c r="E7" s="128">
        <v>622238.03313882975</v>
      </c>
      <c r="F7" s="128">
        <v>645775.65750634973</v>
      </c>
      <c r="G7" s="128">
        <v>669340.01776483667</v>
      </c>
      <c r="H7" s="128">
        <v>693107.63875350333</v>
      </c>
      <c r="I7" s="119">
        <f>(H7/D7)^(1/4)-1</f>
        <v>3.688034541618701E-2</v>
      </c>
    </row>
    <row r="8" spans="2:9" x14ac:dyDescent="0.2">
      <c r="B8" s="58" t="s">
        <v>235</v>
      </c>
      <c r="C8" s="123" t="s">
        <v>4</v>
      </c>
      <c r="D8" s="127">
        <f>+REGRESIONES!D16</f>
        <v>688953.00348235178</v>
      </c>
      <c r="E8" s="128">
        <f>+REGRESIONES!E16</f>
        <v>713841.44870541408</v>
      </c>
      <c r="F8" s="128">
        <f>+REGRESIONES!F16</f>
        <v>739631.12366410438</v>
      </c>
      <c r="G8" s="128">
        <f>+REGRESIONES!G16</f>
        <v>766644.35502679099</v>
      </c>
      <c r="H8" s="128">
        <f>+REGRESIONES!H16</f>
        <v>794600.54572035896</v>
      </c>
      <c r="I8" s="119">
        <f>(H8/D8)^(1/4)-1</f>
        <v>3.6310301494195008E-2</v>
      </c>
    </row>
    <row r="9" spans="2:9" x14ac:dyDescent="0.2">
      <c r="B9" s="121" t="s">
        <v>5</v>
      </c>
      <c r="C9" s="129" t="s">
        <v>28</v>
      </c>
      <c r="D9" s="130">
        <f>+REGRESIONES!D17</f>
        <v>121866.45534124676</v>
      </c>
      <c r="E9" s="246">
        <f>+REGRESIONES!E17</f>
        <v>128798.03466256605</v>
      </c>
      <c r="F9" s="246">
        <f>+REGRESIONES!F17</f>
        <v>134716.13174878049</v>
      </c>
      <c r="G9" s="246">
        <f>+REGRESIONES!G17</f>
        <v>140688.30919925633</v>
      </c>
      <c r="H9" s="246">
        <f>+REGRESIONES!H17</f>
        <v>146678.55534297897</v>
      </c>
      <c r="I9" s="131">
        <f>(H9/D9)^(1/4)-1</f>
        <v>4.7419394315336705E-2</v>
      </c>
    </row>
    <row r="10" spans="2:9" x14ac:dyDescent="0.2">
      <c r="B10" s="100" t="s">
        <v>68</v>
      </c>
      <c r="C10" s="132"/>
      <c r="D10" s="133">
        <f>D6/D9*1000</f>
        <v>0.95669782832720762</v>
      </c>
      <c r="E10" s="134">
        <f>E6/E9*1000</f>
        <v>0.93846982705508297</v>
      </c>
      <c r="F10" s="134">
        <f>F6/F9*1000</f>
        <v>0.93024218617929222</v>
      </c>
      <c r="G10" s="134">
        <f>G6/G9*1000</f>
        <v>0.92428179736195781</v>
      </c>
      <c r="H10" s="134">
        <f>H6/H9*1000</f>
        <v>0.9193396517955752</v>
      </c>
    </row>
    <row r="11" spans="2:9" x14ac:dyDescent="0.2">
      <c r="B11" s="100" t="s">
        <v>69</v>
      </c>
      <c r="C11" s="132"/>
      <c r="D11" s="133">
        <f>D7/D9</f>
        <v>4.9204173006487135</v>
      </c>
      <c r="E11" s="133">
        <f>E7/E9</f>
        <v>4.831114347117266</v>
      </c>
      <c r="F11" s="133">
        <f>F7/F9</f>
        <v>4.7936030312286304</v>
      </c>
      <c r="G11" s="133">
        <f>G7/G9</f>
        <v>4.7576093676472642</v>
      </c>
      <c r="H11" s="133">
        <f>H7/H9</f>
        <v>4.7253508676357452</v>
      </c>
    </row>
    <row r="12" spans="2:9" x14ac:dyDescent="0.2">
      <c r="D12" s="135"/>
      <c r="E12" s="125"/>
      <c r="F12" s="125"/>
      <c r="G12" s="125"/>
      <c r="H12" s="125"/>
    </row>
    <row r="13" spans="2:9" x14ac:dyDescent="0.2">
      <c r="B13" s="40"/>
    </row>
    <row r="16" spans="2:9" x14ac:dyDescent="0.2">
      <c r="F16" s="125"/>
    </row>
  </sheetData>
  <sheetProtection password="CCC5" sheet="1" objects="1" scenarios="1"/>
  <phoneticPr fontId="3" type="noConversion"/>
  <pageMargins left="0.74803149606299213" right="0.74803149606299213" top="0.74803149606299213" bottom="0.55118110236220474" header="0.39370078740157483" footer="0"/>
  <pageSetup scale="98" orientation="landscape" r:id="rId1"/>
  <headerFooter alignWithMargins="0">
    <oddHeader>&amp;R&amp;"Calibri,Normal"&amp;12Anexo D de la Resolución AN No.7655-Elec de 25 de julio de 2014</oddHead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97"/>
  <sheetViews>
    <sheetView topLeftCell="A43" zoomScaleNormal="100" workbookViewId="0">
      <selection activeCell="B38" sqref="B38"/>
    </sheetView>
  </sheetViews>
  <sheetFormatPr baseColWidth="10" defaultColWidth="16.7109375" defaultRowHeight="12.75" x14ac:dyDescent="0.2"/>
  <cols>
    <col min="1" max="1" width="20.5703125" style="103" customWidth="1"/>
    <col min="2" max="16384" width="16.7109375" style="103"/>
  </cols>
  <sheetData>
    <row r="1" spans="1:13" ht="15" x14ac:dyDescent="0.2">
      <c r="A1" s="1" t="s">
        <v>130</v>
      </c>
    </row>
    <row r="2" spans="1:13" ht="15" x14ac:dyDescent="0.2">
      <c r="A2" s="1"/>
    </row>
    <row r="3" spans="1:13" ht="15" x14ac:dyDescent="0.2">
      <c r="A3" s="1" t="s">
        <v>131</v>
      </c>
    </row>
    <row r="4" spans="1:13" s="3" customFormat="1" ht="15" x14ac:dyDescent="0.2">
      <c r="A4" s="2" t="s">
        <v>132</v>
      </c>
      <c r="B4" s="3" t="s">
        <v>30</v>
      </c>
      <c r="C4" s="3" t="s">
        <v>31</v>
      </c>
      <c r="D4" s="3" t="s">
        <v>29</v>
      </c>
      <c r="E4" s="3" t="s">
        <v>25</v>
      </c>
      <c r="F4" s="3" t="s">
        <v>32</v>
      </c>
      <c r="G4" s="4"/>
      <c r="I4" s="36"/>
      <c r="J4" s="36"/>
      <c r="K4" s="36"/>
      <c r="L4" s="36"/>
      <c r="M4" s="36"/>
    </row>
    <row r="5" spans="1:13" ht="15" x14ac:dyDescent="0.2">
      <c r="A5" s="104" t="s">
        <v>133</v>
      </c>
      <c r="B5" s="105"/>
      <c r="C5" s="105"/>
      <c r="D5" s="105">
        <v>0.95598499999999997</v>
      </c>
      <c r="E5" s="105"/>
      <c r="F5" s="105"/>
      <c r="G5" s="5"/>
      <c r="I5" s="36"/>
      <c r="J5" s="36"/>
      <c r="K5" s="36"/>
      <c r="L5" s="36"/>
      <c r="M5" s="36"/>
    </row>
    <row r="6" spans="1:13" ht="15" x14ac:dyDescent="0.2">
      <c r="A6" s="104" t="s">
        <v>134</v>
      </c>
      <c r="B6" s="105">
        <v>0.99928499999999998</v>
      </c>
      <c r="C6" s="105">
        <v>0.955955</v>
      </c>
      <c r="D6" s="105">
        <v>-0.91739999999999999</v>
      </c>
      <c r="E6" s="105">
        <v>1.062851</v>
      </c>
      <c r="F6" s="105">
        <v>0.87718399999999996</v>
      </c>
      <c r="G6" s="5"/>
      <c r="I6" s="36"/>
      <c r="J6" s="36"/>
      <c r="K6" s="36"/>
      <c r="L6" s="36"/>
      <c r="M6" s="36"/>
    </row>
    <row r="7" spans="1:13" ht="15" x14ac:dyDescent="0.2">
      <c r="A7" s="104" t="s">
        <v>33</v>
      </c>
      <c r="B7" s="105">
        <v>8.3126470000000001</v>
      </c>
      <c r="C7" s="105">
        <v>5.880312</v>
      </c>
      <c r="D7" s="105">
        <v>5.3286449999999999</v>
      </c>
      <c r="E7" s="105">
        <v>3.7736770000000002</v>
      </c>
      <c r="F7" s="105">
        <v>5.9642650000000001</v>
      </c>
      <c r="G7" s="5"/>
      <c r="I7" s="36"/>
      <c r="J7" s="36"/>
      <c r="K7" s="36"/>
      <c r="L7" s="36"/>
      <c r="M7" s="36"/>
    </row>
    <row r="10" spans="1:13" ht="15" x14ac:dyDescent="0.2">
      <c r="A10" s="1" t="s">
        <v>135</v>
      </c>
    </row>
    <row r="11" spans="1:13" ht="6" customHeight="1" x14ac:dyDescent="0.2">
      <c r="A11" s="1"/>
    </row>
    <row r="12" spans="1:13" ht="15" x14ac:dyDescent="0.2">
      <c r="A12" s="6" t="s">
        <v>65</v>
      </c>
      <c r="C12" s="7"/>
      <c r="D12" s="7"/>
      <c r="E12" s="7"/>
      <c r="F12" s="7"/>
      <c r="G12" s="7"/>
      <c r="H12" s="7"/>
    </row>
    <row r="13" spans="1:13" ht="15" x14ac:dyDescent="0.2">
      <c r="A13" s="270" t="s">
        <v>136</v>
      </c>
      <c r="B13" s="270" t="s">
        <v>137</v>
      </c>
      <c r="C13" s="3" t="s">
        <v>138</v>
      </c>
      <c r="D13" s="271" t="s">
        <v>139</v>
      </c>
      <c r="E13" s="271"/>
      <c r="F13" s="271"/>
      <c r="G13" s="271"/>
      <c r="H13" s="271"/>
    </row>
    <row r="14" spans="1:13" x14ac:dyDescent="0.2">
      <c r="A14" s="270"/>
      <c r="B14" s="270"/>
      <c r="C14" s="8" t="s">
        <v>140</v>
      </c>
      <c r="D14" s="9" t="s">
        <v>141</v>
      </c>
      <c r="E14" s="9" t="s">
        <v>142</v>
      </c>
      <c r="F14" s="9" t="s">
        <v>143</v>
      </c>
      <c r="G14" s="9" t="s">
        <v>144</v>
      </c>
      <c r="H14" s="9" t="s">
        <v>145</v>
      </c>
    </row>
    <row r="15" spans="1:13" ht="15" x14ac:dyDescent="0.2">
      <c r="A15" s="104" t="s">
        <v>146</v>
      </c>
      <c r="B15" s="103" t="s">
        <v>78</v>
      </c>
      <c r="C15" s="10">
        <v>112.35447288103359</v>
      </c>
      <c r="D15" s="11">
        <v>116.58937317090542</v>
      </c>
      <c r="E15" s="12">
        <v>120.87306931481294</v>
      </c>
      <c r="F15" s="12">
        <v>125.31862891160313</v>
      </c>
      <c r="G15" s="12">
        <v>130.0356432945035</v>
      </c>
      <c r="H15" s="12">
        <v>134.8474119948923</v>
      </c>
    </row>
    <row r="16" spans="1:13" ht="15" x14ac:dyDescent="0.2">
      <c r="A16" s="104" t="s">
        <v>147</v>
      </c>
      <c r="B16" s="103" t="s">
        <v>13</v>
      </c>
      <c r="C16" s="13">
        <v>663928.01883063256</v>
      </c>
      <c r="D16" s="13">
        <v>688953.00348235178</v>
      </c>
      <c r="E16" s="13">
        <v>713841.44870541408</v>
      </c>
      <c r="F16" s="13">
        <v>739631.12366410438</v>
      </c>
      <c r="G16" s="13">
        <v>766644.35502679099</v>
      </c>
      <c r="H16" s="13">
        <v>794600.54572035896</v>
      </c>
    </row>
    <row r="17" spans="1:10" ht="15" x14ac:dyDescent="0.2">
      <c r="A17" s="104" t="s">
        <v>5</v>
      </c>
      <c r="B17" s="103" t="s">
        <v>148</v>
      </c>
      <c r="C17" s="106">
        <v>116612.66666666667</v>
      </c>
      <c r="D17" s="14">
        <v>121866.45534124676</v>
      </c>
      <c r="E17" s="14">
        <v>128798.03466256605</v>
      </c>
      <c r="F17" s="14">
        <v>134716.13174878049</v>
      </c>
      <c r="G17" s="14">
        <v>140688.30919925633</v>
      </c>
      <c r="H17" s="14">
        <v>146678.55534297897</v>
      </c>
    </row>
    <row r="19" spans="1:10" x14ac:dyDescent="0.2">
      <c r="D19" s="107"/>
      <c r="E19" s="107"/>
      <c r="F19" s="107"/>
      <c r="G19" s="107"/>
      <c r="H19" s="107"/>
    </row>
    <row r="20" spans="1:10" ht="15" x14ac:dyDescent="0.2">
      <c r="A20" s="1" t="s">
        <v>149</v>
      </c>
    </row>
    <row r="21" spans="1:10" ht="6" customHeight="1" x14ac:dyDescent="0.2">
      <c r="A21" s="1"/>
    </row>
    <row r="22" spans="1:10" ht="15" x14ac:dyDescent="0.2">
      <c r="A22" s="6" t="s">
        <v>65</v>
      </c>
      <c r="C22" s="7"/>
      <c r="D22" s="7"/>
      <c r="E22" s="7"/>
      <c r="F22" s="7"/>
      <c r="G22" s="7"/>
      <c r="H22" s="7"/>
    </row>
    <row r="23" spans="1:10" ht="15" x14ac:dyDescent="0.2">
      <c r="A23" s="15" t="s">
        <v>150</v>
      </c>
      <c r="C23" s="7"/>
      <c r="D23" s="7"/>
      <c r="E23" s="7"/>
      <c r="F23" s="7"/>
      <c r="G23" s="7"/>
      <c r="H23" s="7"/>
    </row>
    <row r="24" spans="1:10" ht="15" x14ac:dyDescent="0.2">
      <c r="A24" s="7" t="s">
        <v>151</v>
      </c>
      <c r="B24" s="8" t="s">
        <v>140</v>
      </c>
      <c r="C24" s="9" t="s">
        <v>141</v>
      </c>
      <c r="D24" s="9" t="s">
        <v>142</v>
      </c>
      <c r="E24" s="9" t="s">
        <v>143</v>
      </c>
      <c r="F24" s="9" t="s">
        <v>144</v>
      </c>
      <c r="G24" s="9" t="s">
        <v>145</v>
      </c>
      <c r="I24" s="36"/>
      <c r="J24" s="36"/>
    </row>
    <row r="25" spans="1:10" x14ac:dyDescent="0.2">
      <c r="A25" s="108" t="s">
        <v>30</v>
      </c>
      <c r="B25" s="109">
        <f t="shared" ref="B25:G25" si="0">EXP($B$7+$B$6*LN(C17)+$B$5*LN(C15))</f>
        <v>471259074.17229575</v>
      </c>
      <c r="C25" s="109">
        <f t="shared" si="0"/>
        <v>492475346.19605088</v>
      </c>
      <c r="D25" s="109">
        <f t="shared" si="0"/>
        <v>520466010.94492513</v>
      </c>
      <c r="E25" s="109">
        <f t="shared" si="0"/>
        <v>544363240.956828</v>
      </c>
      <c r="F25" s="109">
        <f t="shared" si="0"/>
        <v>568478085.9925921</v>
      </c>
      <c r="G25" s="109">
        <f t="shared" si="0"/>
        <v>592665154.5418936</v>
      </c>
      <c r="I25" s="36"/>
      <c r="J25" s="36"/>
    </row>
    <row r="26" spans="1:10" x14ac:dyDescent="0.2">
      <c r="A26" s="108" t="s">
        <v>31</v>
      </c>
      <c r="B26" s="109">
        <f t="shared" ref="B26:G26" si="1">EXP($C$7+$C$6*LN(C17)+$C$5*LN(C15))</f>
        <v>24967092.180902634</v>
      </c>
      <c r="C26" s="109">
        <f t="shared" si="1"/>
        <v>26041348.168707725</v>
      </c>
      <c r="D26" s="109">
        <f t="shared" si="1"/>
        <v>27455561.962634474</v>
      </c>
      <c r="E26" s="109">
        <f t="shared" si="1"/>
        <v>28660342.165417504</v>
      </c>
      <c r="F26" s="109">
        <f t="shared" si="1"/>
        <v>29873770.459824353</v>
      </c>
      <c r="G26" s="109">
        <f t="shared" si="1"/>
        <v>31088592.43528077</v>
      </c>
      <c r="I26" s="36"/>
      <c r="J26" s="36"/>
    </row>
    <row r="27" spans="1:10" x14ac:dyDescent="0.2">
      <c r="A27" s="108" t="s">
        <v>29</v>
      </c>
      <c r="B27" s="109">
        <f t="shared" ref="B27:G27" si="2">EXP($D$7+$D$6*LN(C15/C17)+$D$5*LN(C15))</f>
        <v>11004129.143103573</v>
      </c>
      <c r="C27" s="109">
        <f t="shared" si="2"/>
        <v>11474487.622445341</v>
      </c>
      <c r="D27" s="109">
        <f t="shared" si="2"/>
        <v>12088670.451235861</v>
      </c>
      <c r="E27" s="109">
        <f t="shared" si="2"/>
        <v>12614864.716963643</v>
      </c>
      <c r="F27" s="109">
        <f t="shared" si="2"/>
        <v>13145712.086851604</v>
      </c>
      <c r="G27" s="109">
        <f t="shared" si="2"/>
        <v>13677472.101594774</v>
      </c>
      <c r="I27" s="36"/>
      <c r="J27" s="36"/>
    </row>
    <row r="28" spans="1:10" x14ac:dyDescent="0.2">
      <c r="A28" s="108" t="s">
        <v>25</v>
      </c>
      <c r="B28" s="109">
        <f t="shared" ref="B28:G28" si="3">EXP($E$7+$E$6*LN(C17)+$E$5*LN(C15))</f>
        <v>10570191.611151358</v>
      </c>
      <c r="C28" s="109">
        <f t="shared" si="3"/>
        <v>11077051.717262553</v>
      </c>
      <c r="D28" s="109">
        <f t="shared" si="3"/>
        <v>11747872.896767188</v>
      </c>
      <c r="E28" s="109">
        <f t="shared" si="3"/>
        <v>12322415.624300005</v>
      </c>
      <c r="F28" s="109">
        <f t="shared" si="3"/>
        <v>12903819.280560495</v>
      </c>
      <c r="G28" s="109">
        <f t="shared" si="3"/>
        <v>13488542.670411633</v>
      </c>
      <c r="I28" s="36"/>
      <c r="J28" s="36"/>
    </row>
    <row r="29" spans="1:10" x14ac:dyDescent="0.2">
      <c r="A29" s="108" t="s">
        <v>32</v>
      </c>
      <c r="B29" s="110">
        <f t="shared" ref="B29:G29" si="4">EXP($F$7+$F$6*LN(C17)+$F$5*LN(C15))</f>
        <v>10832174.85147205</v>
      </c>
      <c r="C29" s="110">
        <f t="shared" si="4"/>
        <v>11259098.174089968</v>
      </c>
      <c r="D29" s="110">
        <f t="shared" si="4"/>
        <v>11818925.674304448</v>
      </c>
      <c r="E29" s="110">
        <f t="shared" si="4"/>
        <v>12293970.99021234</v>
      </c>
      <c r="F29" s="110">
        <f t="shared" si="4"/>
        <v>12770765.566502813</v>
      </c>
      <c r="G29" s="110">
        <f t="shared" si="4"/>
        <v>13246511.434675161</v>
      </c>
      <c r="I29" s="36"/>
      <c r="J29" s="36"/>
    </row>
    <row r="30" spans="1:10" ht="15" x14ac:dyDescent="0.2">
      <c r="A30" s="108"/>
      <c r="B30" s="110"/>
      <c r="C30" s="110"/>
      <c r="D30" s="110"/>
      <c r="E30" s="110"/>
      <c r="F30" s="110"/>
      <c r="G30" s="110"/>
      <c r="I30" s="16"/>
      <c r="J30" s="17"/>
    </row>
    <row r="31" spans="1:10" ht="15" x14ac:dyDescent="0.2">
      <c r="A31" s="18"/>
      <c r="B31" s="19"/>
      <c r="C31" s="20"/>
      <c r="D31" s="20"/>
      <c r="E31" s="20"/>
      <c r="F31" s="20"/>
      <c r="G31" s="20"/>
      <c r="I31" s="16"/>
      <c r="J31" s="17"/>
    </row>
    <row r="32" spans="1:10" x14ac:dyDescent="0.2">
      <c r="A32" s="108"/>
    </row>
    <row r="33" spans="1:8" ht="15" x14ac:dyDescent="0.2">
      <c r="A33" s="15" t="s">
        <v>152</v>
      </c>
    </row>
    <row r="34" spans="1:8" x14ac:dyDescent="0.2">
      <c r="A34" s="111" t="s">
        <v>153</v>
      </c>
    </row>
    <row r="35" spans="1:8" ht="15" x14ac:dyDescent="0.25">
      <c r="A35" s="112" t="s">
        <v>154</v>
      </c>
      <c r="B35" s="21">
        <v>0.38546374727588922</v>
      </c>
      <c r="C35" s="22"/>
    </row>
    <row r="36" spans="1:8" ht="15" x14ac:dyDescent="0.25">
      <c r="A36" s="23" t="s">
        <v>155</v>
      </c>
      <c r="B36" s="24"/>
      <c r="C36" s="22"/>
      <c r="D36" s="24"/>
      <c r="E36" s="24"/>
      <c r="F36" s="24"/>
      <c r="G36" s="36"/>
      <c r="H36" s="36"/>
    </row>
    <row r="37" spans="1:8" ht="15" x14ac:dyDescent="0.25">
      <c r="A37" s="113" t="s">
        <v>30</v>
      </c>
      <c r="B37" s="25">
        <v>0.54086373343217631</v>
      </c>
      <c r="C37" s="22"/>
      <c r="D37" s="26"/>
      <c r="E37" s="26"/>
      <c r="F37" s="26"/>
      <c r="G37" s="36"/>
      <c r="H37" s="36"/>
    </row>
    <row r="38" spans="1:8" ht="15" x14ac:dyDescent="0.25">
      <c r="A38" s="113" t="s">
        <v>31</v>
      </c>
      <c r="B38" s="25">
        <v>0.34434543465562356</v>
      </c>
      <c r="C38" s="21"/>
      <c r="D38" s="21"/>
      <c r="E38" s="21"/>
      <c r="F38" s="21"/>
      <c r="G38" s="36"/>
      <c r="H38" s="36"/>
    </row>
    <row r="39" spans="1:8" ht="15" x14ac:dyDescent="0.25">
      <c r="A39" s="113" t="s">
        <v>29</v>
      </c>
      <c r="B39" s="25">
        <v>0.51600000000000001</v>
      </c>
      <c r="C39" s="22"/>
      <c r="D39" s="25"/>
      <c r="E39" s="25"/>
      <c r="F39" s="25"/>
      <c r="G39" s="36"/>
      <c r="H39" s="36"/>
    </row>
    <row r="40" spans="1:8" ht="15" x14ac:dyDescent="0.25">
      <c r="A40" s="113" t="s">
        <v>25</v>
      </c>
      <c r="B40" s="25">
        <v>0.35499999999999998</v>
      </c>
      <c r="C40" s="22"/>
      <c r="D40" s="25"/>
      <c r="E40" s="25"/>
      <c r="F40" s="25"/>
      <c r="G40" s="36"/>
      <c r="H40" s="36"/>
    </row>
    <row r="41" spans="1:8" ht="15" x14ac:dyDescent="0.25">
      <c r="A41" s="113" t="s">
        <v>32</v>
      </c>
      <c r="B41" s="25">
        <v>0.629</v>
      </c>
      <c r="C41" s="26"/>
      <c r="D41" s="26"/>
      <c r="E41" s="26"/>
      <c r="F41" s="25"/>
      <c r="G41" s="36"/>
      <c r="H41" s="36"/>
    </row>
    <row r="42" spans="1:8" ht="15" x14ac:dyDescent="0.25">
      <c r="A42" s="27"/>
      <c r="C42" s="25"/>
      <c r="D42" s="25"/>
      <c r="E42" s="25"/>
      <c r="F42" s="36"/>
      <c r="G42" s="36"/>
      <c r="H42" s="36"/>
    </row>
    <row r="43" spans="1:8" ht="15" x14ac:dyDescent="0.25">
      <c r="A43" s="111" t="s">
        <v>156</v>
      </c>
      <c r="C43" s="25"/>
      <c r="D43" s="25"/>
      <c r="E43" s="25"/>
      <c r="F43" s="36"/>
      <c r="G43" s="36"/>
      <c r="H43" s="36"/>
    </row>
    <row r="44" spans="1:8" ht="15" x14ac:dyDescent="0.2">
      <c r="A44" s="111"/>
      <c r="B44" s="7">
        <v>2013</v>
      </c>
      <c r="C44" s="7">
        <f>B44+1</f>
        <v>2014</v>
      </c>
      <c r="D44" s="7">
        <f>C44+1</f>
        <v>2015</v>
      </c>
      <c r="E44" s="7">
        <f>D44+1</f>
        <v>2016</v>
      </c>
      <c r="F44" s="7">
        <f>E44+1</f>
        <v>2017</v>
      </c>
      <c r="G44" s="7">
        <f>F44+1</f>
        <v>2018</v>
      </c>
      <c r="H44" s="36"/>
    </row>
    <row r="45" spans="1:8" ht="15" x14ac:dyDescent="0.25">
      <c r="A45" s="114" t="s">
        <v>157</v>
      </c>
      <c r="B45" s="28">
        <v>0.65100000000000002</v>
      </c>
      <c r="C45" s="28">
        <v>0.65100000000000002</v>
      </c>
      <c r="D45" s="28">
        <v>0.65100000000000002</v>
      </c>
      <c r="E45" s="28">
        <v>0.65100000000000002</v>
      </c>
      <c r="F45" s="28">
        <v>0.65100000000000002</v>
      </c>
      <c r="G45" s="28">
        <v>0.65100000000000002</v>
      </c>
      <c r="H45" s="29"/>
    </row>
    <row r="46" spans="1:8" ht="15" customHeight="1" x14ac:dyDescent="0.25">
      <c r="A46" s="115" t="s">
        <v>158</v>
      </c>
      <c r="B46" s="30"/>
      <c r="C46" s="25"/>
      <c r="D46" s="25"/>
      <c r="E46" s="25"/>
      <c r="F46" s="24"/>
      <c r="G46" s="24"/>
      <c r="H46" s="24"/>
    </row>
    <row r="47" spans="1:8" ht="15" x14ac:dyDescent="0.25">
      <c r="A47" s="113" t="s">
        <v>30</v>
      </c>
      <c r="B47" s="31">
        <v>0.1</v>
      </c>
      <c r="C47" s="28"/>
      <c r="D47" s="28"/>
      <c r="E47" s="28"/>
      <c r="F47" s="28"/>
      <c r="G47" s="28"/>
      <c r="H47" s="28"/>
    </row>
    <row r="48" spans="1:8" ht="15" x14ac:dyDescent="0.25">
      <c r="A48" s="113" t="s">
        <v>31</v>
      </c>
      <c r="B48" s="31">
        <v>0.1</v>
      </c>
      <c r="C48" s="24"/>
      <c r="D48" s="24"/>
      <c r="E48" s="32"/>
      <c r="F48" s="24"/>
      <c r="G48" s="24"/>
      <c r="H48" s="24"/>
    </row>
    <row r="49" spans="1:17" ht="15" x14ac:dyDescent="0.25">
      <c r="A49" s="113" t="s">
        <v>29</v>
      </c>
      <c r="B49" s="31">
        <v>0.1</v>
      </c>
      <c r="C49" s="24"/>
      <c r="D49" s="24"/>
      <c r="E49" s="32"/>
      <c r="F49" s="24"/>
      <c r="G49" s="24"/>
      <c r="H49" s="24"/>
    </row>
    <row r="50" spans="1:17" ht="15" x14ac:dyDescent="0.25">
      <c r="A50" s="113" t="s">
        <v>25</v>
      </c>
      <c r="B50" s="31">
        <v>0.15</v>
      </c>
      <c r="C50" s="24"/>
      <c r="D50" s="24"/>
      <c r="E50" s="32"/>
      <c r="F50" s="24"/>
      <c r="G50" s="24"/>
      <c r="H50" s="24"/>
    </row>
    <row r="51" spans="1:17" ht="15" x14ac:dyDescent="0.25">
      <c r="A51" s="113" t="s">
        <v>32</v>
      </c>
      <c r="B51" s="31">
        <v>0.25</v>
      </c>
      <c r="C51" s="24"/>
      <c r="D51" s="24"/>
      <c r="E51" s="32"/>
      <c r="F51" s="24"/>
      <c r="G51" s="24"/>
      <c r="H51" s="24"/>
    </row>
    <row r="52" spans="1:17" ht="15" x14ac:dyDescent="0.2">
      <c r="A52" s="36"/>
      <c r="B52" s="21"/>
      <c r="C52" s="36"/>
      <c r="D52" s="36"/>
      <c r="E52" s="116"/>
      <c r="F52" s="36"/>
      <c r="G52" s="36"/>
      <c r="H52" s="36"/>
    </row>
    <row r="53" spans="1:17" ht="15" x14ac:dyDescent="0.2">
      <c r="A53" s="15" t="s">
        <v>159</v>
      </c>
      <c r="C53" s="7"/>
      <c r="D53" s="7"/>
      <c r="E53" s="7"/>
      <c r="F53" s="7"/>
      <c r="G53" s="7"/>
      <c r="I53" s="36"/>
      <c r="J53" s="36"/>
      <c r="K53" s="36"/>
      <c r="L53" s="36"/>
      <c r="M53" s="36"/>
      <c r="N53" s="36"/>
      <c r="O53" s="36"/>
      <c r="P53" s="36"/>
      <c r="Q53" s="36"/>
    </row>
    <row r="54" spans="1:17" ht="15" x14ac:dyDescent="0.2">
      <c r="A54" s="7" t="s">
        <v>151</v>
      </c>
      <c r="B54" s="8" t="s">
        <v>140</v>
      </c>
      <c r="C54" s="9" t="s">
        <v>141</v>
      </c>
      <c r="D54" s="9" t="s">
        <v>142</v>
      </c>
      <c r="E54" s="9" t="s">
        <v>143</v>
      </c>
      <c r="F54" s="9" t="s">
        <v>144</v>
      </c>
      <c r="G54" s="9" t="s">
        <v>145</v>
      </c>
      <c r="I54" s="36"/>
      <c r="J54" s="36"/>
      <c r="K54" s="36"/>
      <c r="L54" s="36"/>
      <c r="M54" s="36"/>
      <c r="N54" s="36"/>
      <c r="O54" s="36"/>
      <c r="P54" s="36"/>
      <c r="Q54" s="36"/>
    </row>
    <row r="55" spans="1:17" x14ac:dyDescent="0.2">
      <c r="A55" s="108" t="s">
        <v>30</v>
      </c>
      <c r="B55" s="109">
        <f t="shared" ref="B55:G59" si="5">B25*($B37*$B$35+B$45*(1-$B37)*$B47+(1-$B37)*(1-$B47))</f>
        <v>307070420.39763445</v>
      </c>
      <c r="C55" s="109">
        <f t="shared" si="5"/>
        <v>320894853.55268317</v>
      </c>
      <c r="D55" s="109">
        <f t="shared" si="5"/>
        <v>339133452.36744815</v>
      </c>
      <c r="E55" s="109">
        <f t="shared" si="5"/>
        <v>354704786.41333878</v>
      </c>
      <c r="F55" s="109">
        <f t="shared" si="5"/>
        <v>370417917.48877054</v>
      </c>
      <c r="G55" s="109">
        <f t="shared" si="5"/>
        <v>386178109.10028523</v>
      </c>
      <c r="I55" s="36"/>
      <c r="J55" s="36"/>
      <c r="K55" s="36"/>
      <c r="L55" s="36"/>
      <c r="M55" s="36"/>
      <c r="N55" s="36"/>
      <c r="O55" s="36"/>
      <c r="P55" s="36"/>
      <c r="Q55" s="36"/>
    </row>
    <row r="56" spans="1:17" x14ac:dyDescent="0.2">
      <c r="A56" s="108" t="s">
        <v>31</v>
      </c>
      <c r="B56" s="109">
        <f t="shared" si="5"/>
        <v>19112431.468485627</v>
      </c>
      <c r="C56" s="109">
        <f t="shared" si="5"/>
        <v>19934779.693812396</v>
      </c>
      <c r="D56" s="109">
        <f t="shared" si="5"/>
        <v>21017367.286407042</v>
      </c>
      <c r="E56" s="109">
        <f t="shared" si="5"/>
        <v>21939632.43820921</v>
      </c>
      <c r="F56" s="109">
        <f t="shared" si="5"/>
        <v>22868517.746547662</v>
      </c>
      <c r="G56" s="109">
        <f t="shared" si="5"/>
        <v>23798469.924562238</v>
      </c>
      <c r="I56" s="36"/>
      <c r="J56" s="36"/>
      <c r="K56" s="36"/>
      <c r="L56" s="36"/>
      <c r="M56" s="36"/>
      <c r="N56" s="36"/>
      <c r="O56" s="36"/>
      <c r="P56" s="36"/>
      <c r="Q56" s="36"/>
    </row>
    <row r="57" spans="1:17" x14ac:dyDescent="0.2">
      <c r="A57" s="108" t="s">
        <v>29</v>
      </c>
      <c r="B57" s="109">
        <f t="shared" si="5"/>
        <v>7328834.6706128791</v>
      </c>
      <c r="C57" s="109">
        <f t="shared" si="5"/>
        <v>7642097.0366018396</v>
      </c>
      <c r="D57" s="109">
        <f t="shared" si="5"/>
        <v>8051147.5258498732</v>
      </c>
      <c r="E57" s="109">
        <f t="shared" si="5"/>
        <v>8401596.9551498108</v>
      </c>
      <c r="F57" s="109">
        <f t="shared" si="5"/>
        <v>8755145.3876195233</v>
      </c>
      <c r="G57" s="109">
        <f t="shared" si="5"/>
        <v>9109301.648584323</v>
      </c>
      <c r="I57" s="36"/>
      <c r="J57" s="36"/>
      <c r="K57" s="36"/>
      <c r="L57" s="36"/>
      <c r="M57" s="36"/>
      <c r="N57" s="36"/>
      <c r="O57" s="36"/>
      <c r="P57" s="36"/>
      <c r="Q57" s="36"/>
    </row>
    <row r="58" spans="1:17" x14ac:dyDescent="0.2">
      <c r="A58" s="108" t="s">
        <v>25</v>
      </c>
      <c r="B58" s="109">
        <f t="shared" si="5"/>
        <v>7907284.2538881861</v>
      </c>
      <c r="C58" s="109">
        <f t="shared" si="5"/>
        <v>8286453.0602274099</v>
      </c>
      <c r="D58" s="109">
        <f t="shared" si="5"/>
        <v>8788276.8629554212</v>
      </c>
      <c r="E58" s="109">
        <f t="shared" si="5"/>
        <v>9218077.2705292404</v>
      </c>
      <c r="F58" s="109">
        <f t="shared" si="5"/>
        <v>9653010.1596787143</v>
      </c>
      <c r="G58" s="109">
        <f t="shared" si="5"/>
        <v>10090426.45481685</v>
      </c>
      <c r="I58" s="36"/>
      <c r="J58" s="36"/>
      <c r="K58" s="36"/>
      <c r="L58" s="36"/>
      <c r="M58" s="36"/>
      <c r="N58" s="36"/>
      <c r="O58" s="36"/>
      <c r="P58" s="36"/>
      <c r="Q58" s="36"/>
    </row>
    <row r="59" spans="1:17" x14ac:dyDescent="0.2">
      <c r="A59" s="108" t="s">
        <v>32</v>
      </c>
      <c r="B59" s="110">
        <f t="shared" si="5"/>
        <v>6294435.414207818</v>
      </c>
      <c r="C59" s="110">
        <f t="shared" si="5"/>
        <v>6542514.9843665576</v>
      </c>
      <c r="D59" s="110">
        <f t="shared" si="5"/>
        <v>6867823.4373332839</v>
      </c>
      <c r="E59" s="110">
        <f t="shared" si="5"/>
        <v>7143866.0696582068</v>
      </c>
      <c r="F59" s="110">
        <f t="shared" si="5"/>
        <v>7420925.1743584163</v>
      </c>
      <c r="G59" s="110">
        <f t="shared" si="5"/>
        <v>7697374.8884599311</v>
      </c>
      <c r="I59" s="36"/>
      <c r="J59" s="36"/>
      <c r="K59" s="36"/>
      <c r="L59" s="36"/>
      <c r="M59" s="36"/>
      <c r="N59" s="36"/>
      <c r="O59" s="36"/>
      <c r="P59" s="36"/>
      <c r="Q59" s="36"/>
    </row>
    <row r="60" spans="1:17" x14ac:dyDescent="0.2">
      <c r="A60" s="108"/>
      <c r="B60" s="110"/>
      <c r="C60" s="110"/>
      <c r="D60" s="110"/>
      <c r="E60" s="110"/>
      <c r="F60" s="110"/>
      <c r="G60" s="110"/>
      <c r="I60" s="36"/>
      <c r="J60" s="36"/>
      <c r="K60" s="36"/>
      <c r="L60" s="36"/>
      <c r="M60" s="36"/>
      <c r="N60" s="36"/>
      <c r="O60" s="36"/>
      <c r="P60" s="36"/>
      <c r="Q60" s="36"/>
    </row>
    <row r="61" spans="1:17" ht="15" x14ac:dyDescent="0.2">
      <c r="A61" s="18"/>
      <c r="B61" s="19"/>
      <c r="C61" s="19"/>
      <c r="D61" s="19"/>
      <c r="E61" s="19"/>
      <c r="F61" s="19"/>
      <c r="G61" s="19"/>
      <c r="I61" s="36"/>
      <c r="J61" s="36"/>
      <c r="K61" s="36"/>
      <c r="L61" s="36"/>
      <c r="M61" s="36"/>
      <c r="N61" s="36"/>
      <c r="O61" s="36"/>
      <c r="P61" s="36"/>
      <c r="Q61" s="36"/>
    </row>
    <row r="62" spans="1:17" x14ac:dyDescent="0.2">
      <c r="I62" s="36"/>
      <c r="J62" s="36"/>
      <c r="K62" s="36"/>
      <c r="L62" s="36"/>
      <c r="M62" s="36"/>
      <c r="N62" s="36"/>
      <c r="O62" s="36"/>
      <c r="P62" s="36"/>
      <c r="Q62" s="36"/>
    </row>
    <row r="63" spans="1:17" ht="15" x14ac:dyDescent="0.2">
      <c r="A63" s="7" t="s">
        <v>160</v>
      </c>
      <c r="B63" s="33">
        <f t="shared" ref="B63:G63" si="6">SUM(B55:B56)</f>
        <v>326182851.8661201</v>
      </c>
      <c r="C63" s="33">
        <f t="shared" si="6"/>
        <v>340829633.24649554</v>
      </c>
      <c r="D63" s="33">
        <f t="shared" si="6"/>
        <v>360150819.6538552</v>
      </c>
      <c r="E63" s="33">
        <f t="shared" si="6"/>
        <v>376644418.85154802</v>
      </c>
      <c r="F63" s="33">
        <f t="shared" si="6"/>
        <v>393286435.23531818</v>
      </c>
      <c r="G63" s="33">
        <f t="shared" si="6"/>
        <v>409976579.02484745</v>
      </c>
      <c r="I63" s="36"/>
      <c r="J63" s="36"/>
      <c r="K63" s="36"/>
      <c r="L63" s="36"/>
      <c r="M63" s="36"/>
      <c r="N63" s="36"/>
      <c r="O63" s="36"/>
      <c r="P63" s="36"/>
      <c r="Q63" s="36"/>
    </row>
    <row r="64" spans="1:17" ht="15" x14ac:dyDescent="0.2">
      <c r="A64" s="7" t="s">
        <v>161</v>
      </c>
      <c r="B64" s="33">
        <f t="shared" ref="B64:G64" si="7">SUM(B57:B59)</f>
        <v>21530554.338708885</v>
      </c>
      <c r="C64" s="33">
        <f t="shared" si="7"/>
        <v>22471065.081195809</v>
      </c>
      <c r="D64" s="33">
        <f t="shared" si="7"/>
        <v>23707247.826138578</v>
      </c>
      <c r="E64" s="33">
        <f t="shared" si="7"/>
        <v>24763540.29533726</v>
      </c>
      <c r="F64" s="33">
        <f t="shared" si="7"/>
        <v>25829080.721656654</v>
      </c>
      <c r="G64" s="33">
        <f t="shared" si="7"/>
        <v>26897102.991861105</v>
      </c>
      <c r="I64" s="36"/>
      <c r="J64" s="36"/>
      <c r="K64" s="36"/>
      <c r="L64" s="36"/>
      <c r="M64" s="36"/>
      <c r="N64" s="36"/>
      <c r="O64" s="36"/>
      <c r="P64" s="36"/>
      <c r="Q64" s="36"/>
    </row>
    <row r="65" spans="1:17" ht="15" x14ac:dyDescent="0.2">
      <c r="A65" s="34" t="s">
        <v>162</v>
      </c>
      <c r="B65" s="33">
        <f t="shared" ref="B65:G65" si="8">B63+B64</f>
        <v>347713406.20482898</v>
      </c>
      <c r="C65" s="33">
        <f t="shared" si="8"/>
        <v>363300698.32769138</v>
      </c>
      <c r="D65" s="33">
        <f t="shared" si="8"/>
        <v>383858067.47999376</v>
      </c>
      <c r="E65" s="33">
        <f t="shared" si="8"/>
        <v>401407959.14688528</v>
      </c>
      <c r="F65" s="33">
        <f t="shared" si="8"/>
        <v>419115515.95697486</v>
      </c>
      <c r="G65" s="33">
        <f t="shared" si="8"/>
        <v>436873682.01670855</v>
      </c>
      <c r="I65" s="36"/>
      <c r="J65" s="36"/>
      <c r="K65" s="36"/>
      <c r="L65" s="36"/>
      <c r="M65" s="36"/>
      <c r="N65" s="36"/>
      <c r="O65" s="36"/>
      <c r="P65" s="36"/>
      <c r="Q65" s="36"/>
    </row>
    <row r="66" spans="1:17" x14ac:dyDescent="0.2">
      <c r="I66" s="36"/>
      <c r="J66" s="36"/>
      <c r="K66" s="36"/>
      <c r="L66" s="36"/>
      <c r="M66" s="36"/>
      <c r="N66" s="36"/>
      <c r="O66" s="36"/>
      <c r="P66" s="36"/>
      <c r="Q66" s="36"/>
    </row>
    <row r="67" spans="1:17" ht="15" x14ac:dyDescent="0.2">
      <c r="A67" s="7" t="s">
        <v>22</v>
      </c>
      <c r="B67" s="8" t="s">
        <v>140</v>
      </c>
      <c r="C67" s="9" t="s">
        <v>141</v>
      </c>
      <c r="D67" s="9" t="s">
        <v>142</v>
      </c>
      <c r="E67" s="9" t="s">
        <v>143</v>
      </c>
      <c r="F67" s="9" t="s">
        <v>144</v>
      </c>
      <c r="G67" s="9" t="s">
        <v>145</v>
      </c>
      <c r="I67" s="36"/>
      <c r="J67" s="36"/>
      <c r="K67" s="36"/>
      <c r="L67" s="36"/>
      <c r="M67" s="36"/>
      <c r="N67" s="36"/>
      <c r="O67" s="36"/>
      <c r="P67" s="36"/>
      <c r="Q67" s="36"/>
    </row>
    <row r="68" spans="1:17" x14ac:dyDescent="0.2">
      <c r="A68" s="108" t="s">
        <v>48</v>
      </c>
      <c r="C68" s="117">
        <f t="shared" ref="C68:G69" si="9">C55-B55</f>
        <v>13824433.155048728</v>
      </c>
      <c r="D68" s="117">
        <f t="shared" si="9"/>
        <v>18238598.814764977</v>
      </c>
      <c r="E68" s="117">
        <f t="shared" si="9"/>
        <v>15571334.045890629</v>
      </c>
      <c r="F68" s="117">
        <f t="shared" si="9"/>
        <v>15713131.075431764</v>
      </c>
      <c r="G68" s="117">
        <f t="shared" si="9"/>
        <v>15760191.611514688</v>
      </c>
      <c r="I68" s="36"/>
      <c r="J68" s="36"/>
      <c r="K68" s="36"/>
      <c r="L68" s="36"/>
      <c r="M68" s="36"/>
      <c r="N68" s="36"/>
      <c r="O68" s="36"/>
      <c r="P68" s="36"/>
      <c r="Q68" s="36"/>
    </row>
    <row r="69" spans="1:17" x14ac:dyDescent="0.2">
      <c r="A69" s="108" t="s">
        <v>49</v>
      </c>
      <c r="C69" s="117">
        <f t="shared" si="9"/>
        <v>822348.22532676905</v>
      </c>
      <c r="D69" s="117">
        <f t="shared" si="9"/>
        <v>1082587.5925946459</v>
      </c>
      <c r="E69" s="117">
        <f t="shared" si="9"/>
        <v>922265.1518021673</v>
      </c>
      <c r="F69" s="117">
        <f t="shared" si="9"/>
        <v>928885.30833845213</v>
      </c>
      <c r="G69" s="117">
        <f t="shared" si="9"/>
        <v>929952.17801457644</v>
      </c>
      <c r="I69" s="36"/>
      <c r="J69" s="36"/>
      <c r="K69" s="36"/>
      <c r="L69" s="36"/>
      <c r="M69" s="36"/>
      <c r="N69" s="36"/>
      <c r="O69" s="36"/>
      <c r="P69" s="36"/>
      <c r="Q69" s="36"/>
    </row>
    <row r="70" spans="1:17" x14ac:dyDescent="0.2">
      <c r="I70" s="36"/>
      <c r="J70" s="36"/>
      <c r="K70" s="36"/>
      <c r="L70" s="36"/>
      <c r="M70" s="36"/>
      <c r="N70" s="36"/>
      <c r="O70" s="36"/>
      <c r="P70" s="36"/>
      <c r="Q70" s="36"/>
    </row>
    <row r="71" spans="1:17" ht="15" x14ac:dyDescent="0.2">
      <c r="A71" s="7" t="s">
        <v>163</v>
      </c>
      <c r="C71" s="33">
        <f>SUM(C68:C69)</f>
        <v>14646781.380375497</v>
      </c>
      <c r="D71" s="33">
        <f>SUM(D68:D69)</f>
        <v>19321186.407359622</v>
      </c>
      <c r="E71" s="33">
        <f>SUM(E68:E69)</f>
        <v>16493599.197692797</v>
      </c>
      <c r="F71" s="33">
        <f>SUM(F68:F69)</f>
        <v>16642016.383770216</v>
      </c>
      <c r="G71" s="33">
        <f>SUM(G68:G69)</f>
        <v>16690143.789529264</v>
      </c>
      <c r="I71" s="36"/>
      <c r="J71" s="36"/>
      <c r="K71" s="36"/>
      <c r="L71" s="36"/>
      <c r="M71" s="36"/>
      <c r="N71" s="36"/>
      <c r="O71" s="36"/>
      <c r="P71" s="36"/>
      <c r="Q71" s="36"/>
    </row>
    <row r="72" spans="1:17" x14ac:dyDescent="0.2">
      <c r="I72" s="36"/>
      <c r="J72" s="36"/>
      <c r="K72" s="36"/>
      <c r="L72" s="36"/>
      <c r="M72" s="36"/>
      <c r="N72" s="36"/>
      <c r="O72" s="36"/>
      <c r="P72" s="36"/>
      <c r="Q72" s="36"/>
    </row>
    <row r="74" spans="1:17" ht="15" x14ac:dyDescent="0.2">
      <c r="A74" s="1" t="s">
        <v>164</v>
      </c>
    </row>
    <row r="75" spans="1:17" ht="15" x14ac:dyDescent="0.2">
      <c r="A75" s="2" t="s">
        <v>132</v>
      </c>
      <c r="B75" s="3" t="s">
        <v>30</v>
      </c>
    </row>
    <row r="76" spans="1:17" x14ac:dyDescent="0.2">
      <c r="A76" s="104" t="s">
        <v>165</v>
      </c>
      <c r="B76" s="105">
        <v>0.97322200000000003</v>
      </c>
    </row>
    <row r="77" spans="1:17" x14ac:dyDescent="0.2">
      <c r="A77" s="104" t="s">
        <v>33</v>
      </c>
      <c r="B77" s="105">
        <v>-2.1410939999999998</v>
      </c>
    </row>
    <row r="80" spans="1:17" ht="15" x14ac:dyDescent="0.2">
      <c r="A80" s="1" t="s">
        <v>166</v>
      </c>
    </row>
    <row r="81" spans="1:7" ht="15" x14ac:dyDescent="0.2">
      <c r="A81" s="1"/>
    </row>
    <row r="82" spans="1:7" ht="15" x14ac:dyDescent="0.2">
      <c r="A82" s="6" t="s">
        <v>167</v>
      </c>
      <c r="C82" s="7"/>
      <c r="D82" s="7"/>
      <c r="E82" s="7"/>
      <c r="F82" s="7"/>
      <c r="G82" s="7"/>
    </row>
    <row r="83" spans="1:7" ht="15" x14ac:dyDescent="0.2">
      <c r="A83" s="15" t="s">
        <v>168</v>
      </c>
      <c r="C83" s="7"/>
      <c r="D83" s="7"/>
      <c r="E83" s="7"/>
      <c r="F83" s="7"/>
      <c r="G83" s="7"/>
    </row>
    <row r="84" spans="1:7" ht="15" x14ac:dyDescent="0.2">
      <c r="A84" s="7" t="s">
        <v>151</v>
      </c>
      <c r="B84" s="8" t="s">
        <v>140</v>
      </c>
      <c r="C84" s="9" t="s">
        <v>141</v>
      </c>
      <c r="D84" s="9" t="s">
        <v>142</v>
      </c>
      <c r="E84" s="9" t="s">
        <v>143</v>
      </c>
      <c r="F84" s="9" t="s">
        <v>144</v>
      </c>
      <c r="G84" s="9" t="s">
        <v>145</v>
      </c>
    </row>
    <row r="85" spans="1:7" x14ac:dyDescent="0.2">
      <c r="A85" s="108" t="s">
        <v>169</v>
      </c>
      <c r="B85" s="109">
        <f t="shared" ref="B85:G85" si="10">EXP($B$77+$B$76*LN(C16))</f>
        <v>54494.28157865267</v>
      </c>
      <c r="C85" s="109">
        <f t="shared" si="10"/>
        <v>56492.298769905581</v>
      </c>
      <c r="D85" s="109">
        <f t="shared" si="10"/>
        <v>58477.487389211878</v>
      </c>
      <c r="E85" s="109">
        <f t="shared" si="10"/>
        <v>60532.607240410201</v>
      </c>
      <c r="F85" s="109">
        <f t="shared" si="10"/>
        <v>62683.17357864933</v>
      </c>
      <c r="G85" s="109">
        <f t="shared" si="10"/>
        <v>64906.675221108213</v>
      </c>
    </row>
    <row r="86" spans="1:7" x14ac:dyDescent="0.2">
      <c r="A86" s="108" t="s">
        <v>170</v>
      </c>
      <c r="B86" s="118">
        <f t="shared" ref="B86:G86" si="11">B85/C16</f>
        <v>8.2078598934012023E-2</v>
      </c>
      <c r="C86" s="118">
        <f t="shared" si="11"/>
        <v>8.1997318372025479E-2</v>
      </c>
      <c r="D86" s="118">
        <f t="shared" si="11"/>
        <v>8.1919433923686585E-2</v>
      </c>
      <c r="E86" s="118">
        <f t="shared" si="11"/>
        <v>8.1841617130082325E-2</v>
      </c>
      <c r="F86" s="118">
        <f t="shared" si="11"/>
        <v>8.1763040668914613E-2</v>
      </c>
      <c r="G86" s="118">
        <f t="shared" si="11"/>
        <v>8.1684659758528025E-2</v>
      </c>
    </row>
    <row r="97" s="103" customFormat="1" x14ac:dyDescent="0.2"/>
  </sheetData>
  <sheetProtection password="CCC5" sheet="1" objects="1" scenarios="1"/>
  <mergeCells count="3">
    <mergeCell ref="A13:A14"/>
    <mergeCell ref="B13:B14"/>
    <mergeCell ref="D13:H13"/>
  </mergeCells>
  <pageMargins left="0.74803149606299213" right="0.74803149606299213" top="0.74803149606299213" bottom="0.55118110236220474" header="0.39370078740157483" footer="0"/>
  <pageSetup scale="59" orientation="portrait" r:id="rId1"/>
  <headerFooter alignWithMargins="0">
    <oddHeader>&amp;R&amp;"Calibri,Normal"&amp;12Anexo D de la Resolución AN No.7655-Elec de 25 de julio de 2014</oddHeader>
    <oddFooter>&amp;C&amp;A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B2:V219"/>
  <sheetViews>
    <sheetView zoomScaleNormal="100" workbookViewId="0">
      <selection activeCell="B38" sqref="B38"/>
    </sheetView>
  </sheetViews>
  <sheetFormatPr baseColWidth="10" defaultColWidth="11.42578125" defaultRowHeight="12.75" x14ac:dyDescent="0.2"/>
  <cols>
    <col min="1" max="1" width="4" style="36" customWidth="1"/>
    <col min="2" max="2" width="37.7109375" style="36" customWidth="1"/>
    <col min="3" max="3" width="6.28515625" style="36" customWidth="1"/>
    <col min="4" max="7" width="18.5703125" style="36" bestFit="1" customWidth="1"/>
    <col min="8" max="8" width="12.5703125" style="36" bestFit="1" customWidth="1"/>
    <col min="9" max="9" width="17.28515625" style="36" bestFit="1" customWidth="1"/>
    <col min="10" max="10" width="7.42578125" style="36" customWidth="1"/>
    <col min="11" max="11" width="46.7109375" style="36" bestFit="1" customWidth="1"/>
    <col min="12" max="12" width="11.85546875" style="36" customWidth="1"/>
    <col min="13" max="13" width="14.7109375" style="36" customWidth="1"/>
    <col min="14" max="14" width="21.140625" style="36" customWidth="1"/>
    <col min="15" max="15" width="9.140625" style="36" customWidth="1"/>
    <col min="16" max="16" width="10" style="36" customWidth="1"/>
    <col min="17" max="16384" width="11.42578125" style="36"/>
  </cols>
  <sheetData>
    <row r="2" spans="2:16" ht="18.75" x14ac:dyDescent="0.3">
      <c r="B2" s="35" t="s">
        <v>65</v>
      </c>
      <c r="D2" s="79"/>
    </row>
    <row r="4" spans="2:16" ht="15.75" x14ac:dyDescent="0.25">
      <c r="B4" s="38" t="s">
        <v>22</v>
      </c>
    </row>
    <row r="5" spans="2:16" ht="15.75" x14ac:dyDescent="0.25">
      <c r="B5" s="55" t="s">
        <v>115</v>
      </c>
      <c r="G5" s="80"/>
    </row>
    <row r="6" spans="2:16" ht="16.5" thickBot="1" x14ac:dyDescent="0.3">
      <c r="C6" s="38"/>
    </row>
    <row r="7" spans="2:16" x14ac:dyDescent="0.2">
      <c r="B7" s="269" t="s">
        <v>471</v>
      </c>
      <c r="C7" s="269"/>
      <c r="D7" s="50" t="s">
        <v>171</v>
      </c>
      <c r="E7" s="50" t="s">
        <v>172</v>
      </c>
      <c r="F7" s="50" t="s">
        <v>173</v>
      </c>
      <c r="G7" s="50" t="s">
        <v>174</v>
      </c>
      <c r="H7" s="81" t="s">
        <v>71</v>
      </c>
      <c r="K7" s="288" t="s">
        <v>176</v>
      </c>
      <c r="L7" s="289"/>
      <c r="M7" s="289"/>
      <c r="N7" s="289"/>
      <c r="O7" s="289"/>
      <c r="P7" s="290"/>
    </row>
    <row r="8" spans="2:16" x14ac:dyDescent="0.2">
      <c r="B8" s="269"/>
      <c r="C8" s="269"/>
      <c r="D8" s="57" t="s">
        <v>123</v>
      </c>
      <c r="E8" s="57" t="s">
        <v>123</v>
      </c>
      <c r="F8" s="57" t="s">
        <v>123</v>
      </c>
      <c r="G8" s="57" t="s">
        <v>123</v>
      </c>
      <c r="H8" s="57" t="s">
        <v>79</v>
      </c>
      <c r="K8" s="294" t="s">
        <v>104</v>
      </c>
      <c r="L8" s="295" t="s">
        <v>177</v>
      </c>
      <c r="M8" s="295">
        <v>2015</v>
      </c>
      <c r="N8" s="295">
        <v>2016</v>
      </c>
      <c r="O8" s="295">
        <v>2017</v>
      </c>
      <c r="P8" s="296" t="s">
        <v>178</v>
      </c>
    </row>
    <row r="9" spans="2:16" x14ac:dyDescent="0.2">
      <c r="B9" s="83"/>
      <c r="C9" s="58"/>
      <c r="D9" s="83"/>
      <c r="E9" s="83"/>
      <c r="F9" s="83"/>
      <c r="G9" s="82"/>
      <c r="H9" s="82"/>
      <c r="K9" s="276"/>
      <c r="L9" s="278"/>
      <c r="M9" s="278"/>
      <c r="N9" s="278"/>
      <c r="O9" s="278"/>
      <c r="P9" s="280"/>
    </row>
    <row r="10" spans="2:16" ht="15" x14ac:dyDescent="0.25">
      <c r="B10" s="83" t="s">
        <v>50</v>
      </c>
      <c r="C10" s="58" t="s">
        <v>48</v>
      </c>
      <c r="D10" s="181">
        <f>+REGRESIONES!D68/1000+INVERSIONES!D21+INVERSIONES!D22+INVERSIONES!D24+D23</f>
        <v>31987.485923931643</v>
      </c>
      <c r="E10" s="181">
        <f>+REGRESIONES!E68/1000+INVERSIONES!E21+INVERSIONES!E22+INVERSIONES!E24+E23</f>
        <v>23757.350155057295</v>
      </c>
      <c r="F10" s="181">
        <f>+REGRESIONES!F68/1000+INVERSIONES!F21+INVERSIONES!F22+INVERSIONES!F24+F23</f>
        <v>20068.707184598428</v>
      </c>
      <c r="G10" s="181">
        <f>+REGRESIONES!G68/1000+INVERSIONES!G21+INVERSIONES!G22+INVERSIONES!G24+G23</f>
        <v>16743.777720681352</v>
      </c>
      <c r="H10" s="181">
        <f>SUM(D10:G10)</f>
        <v>92557.320984268721</v>
      </c>
      <c r="K10" s="167" t="s">
        <v>108</v>
      </c>
      <c r="L10" s="89">
        <v>4994</v>
      </c>
      <c r="M10" s="86" t="s">
        <v>179</v>
      </c>
      <c r="N10" s="86" t="s">
        <v>179</v>
      </c>
      <c r="O10" s="86" t="s">
        <v>179</v>
      </c>
      <c r="P10" s="87" t="s">
        <v>179</v>
      </c>
    </row>
    <row r="11" spans="2:16" ht="15" x14ac:dyDescent="0.25">
      <c r="B11" s="83" t="s">
        <v>44</v>
      </c>
      <c r="C11" s="58" t="s">
        <v>49</v>
      </c>
      <c r="D11" s="84">
        <f>+REGRESIONES!D69/1000</f>
        <v>1082.5875925946459</v>
      </c>
      <c r="E11" s="84">
        <f>+REGRESIONES!E69/1000</f>
        <v>922.26515180216734</v>
      </c>
      <c r="F11" s="84">
        <f>+REGRESIONES!F69/1000</f>
        <v>928.88530833845209</v>
      </c>
      <c r="G11" s="84">
        <f>+REGRESIONES!G69/1000</f>
        <v>929.95217801457648</v>
      </c>
      <c r="H11" s="181">
        <f>SUM(D11:G11)</f>
        <v>3863.6902307498417</v>
      </c>
      <c r="K11" s="167" t="s">
        <v>180</v>
      </c>
      <c r="L11" s="89">
        <v>3279</v>
      </c>
      <c r="M11" s="89" t="s">
        <v>179</v>
      </c>
      <c r="N11" s="90" t="s">
        <v>179</v>
      </c>
      <c r="O11" s="90" t="s">
        <v>179</v>
      </c>
      <c r="P11" s="91" t="s">
        <v>179</v>
      </c>
    </row>
    <row r="12" spans="2:16" ht="15.75" thickBot="1" x14ac:dyDescent="0.3">
      <c r="B12" s="83" t="s">
        <v>80</v>
      </c>
      <c r="C12" s="58" t="s">
        <v>62</v>
      </c>
      <c r="D12" s="84">
        <f>D31</f>
        <v>538.75</v>
      </c>
      <c r="E12" s="84">
        <f>E31</f>
        <v>737.65000000000009</v>
      </c>
      <c r="F12" s="84">
        <f>F31</f>
        <v>781.59999999999991</v>
      </c>
      <c r="G12" s="84">
        <f>G31</f>
        <v>2069.8000000000002</v>
      </c>
      <c r="H12" s="181">
        <f>SUM(D12:G12)</f>
        <v>4127.8</v>
      </c>
      <c r="K12" s="168" t="s">
        <v>27</v>
      </c>
      <c r="L12" s="95">
        <f>SUM(L10:L11)</f>
        <v>8273</v>
      </c>
      <c r="M12" s="95">
        <f>SUM(M10:M11)</f>
        <v>0</v>
      </c>
      <c r="N12" s="95">
        <f>SUM(N10:N11)</f>
        <v>0</v>
      </c>
      <c r="O12" s="95">
        <f>SUM(O10:O11)</f>
        <v>0</v>
      </c>
      <c r="P12" s="96">
        <f>SUM(P10:P11)</f>
        <v>0</v>
      </c>
    </row>
    <row r="13" spans="2:16" x14ac:dyDescent="0.2">
      <c r="B13" s="54"/>
      <c r="C13" s="58"/>
      <c r="D13" s="54"/>
      <c r="E13" s="54"/>
      <c r="F13" s="54"/>
      <c r="G13" s="88"/>
      <c r="H13" s="88"/>
      <c r="K13" s="97"/>
      <c r="L13" s="98"/>
      <c r="M13" s="98"/>
      <c r="N13" s="98"/>
      <c r="O13" s="98"/>
      <c r="P13" s="98"/>
    </row>
    <row r="14" spans="2:16" ht="13.5" thickBot="1" x14ac:dyDescent="0.25">
      <c r="B14" s="85" t="s">
        <v>23</v>
      </c>
      <c r="C14" s="92" t="s">
        <v>66</v>
      </c>
      <c r="D14" s="93">
        <f>+D10+D11+D12</f>
        <v>33608.823516526289</v>
      </c>
      <c r="E14" s="93">
        <f>+E10+E11+E12</f>
        <v>25417.265306859463</v>
      </c>
      <c r="F14" s="94">
        <f>+F10+F11+F12</f>
        <v>21779.19249293688</v>
      </c>
      <c r="G14" s="94">
        <f>+G10+G11+G12</f>
        <v>19743.529898695928</v>
      </c>
      <c r="H14" s="94">
        <f>SUM(D14:G14)</f>
        <v>100548.81121501856</v>
      </c>
      <c r="K14" s="97"/>
      <c r="L14" s="98"/>
      <c r="M14" s="98"/>
      <c r="N14" s="98"/>
      <c r="O14" s="98"/>
      <c r="P14" s="98"/>
    </row>
    <row r="15" spans="2:16" ht="13.5" thickBot="1" x14ac:dyDescent="0.25">
      <c r="K15" s="272" t="s">
        <v>181</v>
      </c>
      <c r="L15" s="273"/>
      <c r="M15" s="273"/>
      <c r="N15" s="273"/>
      <c r="O15" s="273"/>
      <c r="P15" s="274"/>
    </row>
    <row r="16" spans="2:16" x14ac:dyDescent="0.2">
      <c r="E16" s="40"/>
      <c r="F16" s="40"/>
      <c r="G16" s="40"/>
      <c r="H16" s="40"/>
      <c r="K16" s="275" t="s">
        <v>104</v>
      </c>
      <c r="L16" s="277" t="s">
        <v>177</v>
      </c>
      <c r="M16" s="277">
        <v>2015</v>
      </c>
      <c r="N16" s="277">
        <v>2016</v>
      </c>
      <c r="O16" s="277">
        <v>2017</v>
      </c>
      <c r="P16" s="279" t="s">
        <v>178</v>
      </c>
    </row>
    <row r="17" spans="2:16" x14ac:dyDescent="0.2">
      <c r="E17" s="40"/>
      <c r="F17" s="40"/>
      <c r="G17" s="99"/>
      <c r="H17" s="40"/>
      <c r="K17" s="276"/>
      <c r="L17" s="278"/>
      <c r="M17" s="278"/>
      <c r="N17" s="278"/>
      <c r="O17" s="278"/>
      <c r="P17" s="280"/>
    </row>
    <row r="18" spans="2:16" x14ac:dyDescent="0.2">
      <c r="B18" s="269" t="s">
        <v>232</v>
      </c>
      <c r="C18" s="269"/>
      <c r="D18" s="50" t="s">
        <v>171</v>
      </c>
      <c r="E18" s="50" t="s">
        <v>172</v>
      </c>
      <c r="F18" s="50" t="s">
        <v>173</v>
      </c>
      <c r="G18" s="50" t="s">
        <v>174</v>
      </c>
      <c r="H18" s="57" t="s">
        <v>71</v>
      </c>
      <c r="K18" s="169" t="s">
        <v>182</v>
      </c>
      <c r="L18" s="170">
        <v>17.481000000000002</v>
      </c>
      <c r="M18" s="170">
        <v>800</v>
      </c>
      <c r="N18" s="170" t="s">
        <v>179</v>
      </c>
      <c r="O18" s="170" t="s">
        <v>179</v>
      </c>
      <c r="P18" s="171" t="s">
        <v>179</v>
      </c>
    </row>
    <row r="19" spans="2:16" x14ac:dyDescent="0.2">
      <c r="B19" s="269"/>
      <c r="C19" s="269"/>
      <c r="D19" s="57" t="s">
        <v>123</v>
      </c>
      <c r="E19" s="57" t="s">
        <v>123</v>
      </c>
      <c r="F19" s="57" t="s">
        <v>123</v>
      </c>
      <c r="G19" s="57" t="s">
        <v>123</v>
      </c>
      <c r="H19" s="57" t="s">
        <v>79</v>
      </c>
      <c r="K19" s="169" t="s">
        <v>183</v>
      </c>
      <c r="L19" s="170">
        <v>44.38</v>
      </c>
      <c r="M19" s="170">
        <v>210.88</v>
      </c>
      <c r="N19" s="170">
        <v>311.68</v>
      </c>
      <c r="O19" s="170">
        <v>0</v>
      </c>
      <c r="P19" s="171">
        <v>0</v>
      </c>
    </row>
    <row r="20" spans="2:16" x14ac:dyDescent="0.2">
      <c r="B20" s="100"/>
      <c r="C20" s="100"/>
      <c r="D20" s="100"/>
      <c r="E20" s="100"/>
      <c r="F20" s="100"/>
      <c r="G20" s="100"/>
      <c r="H20" s="100"/>
      <c r="K20" s="169" t="s">
        <v>184</v>
      </c>
      <c r="L20" s="170">
        <v>0</v>
      </c>
      <c r="M20" s="170">
        <v>82.3</v>
      </c>
      <c r="N20" s="170">
        <v>82.3</v>
      </c>
      <c r="O20" s="170">
        <v>82.3</v>
      </c>
      <c r="P20" s="171">
        <v>0</v>
      </c>
    </row>
    <row r="21" spans="2:16" x14ac:dyDescent="0.2">
      <c r="B21" s="175" t="s">
        <v>229</v>
      </c>
      <c r="C21" s="175" t="s">
        <v>48</v>
      </c>
      <c r="D21" s="176">
        <f>L12+M12/2</f>
        <v>8273</v>
      </c>
      <c r="E21" s="176">
        <f>(M12+N12)/2</f>
        <v>0</v>
      </c>
      <c r="F21" s="176">
        <f>(N12+O12)/2</f>
        <v>0</v>
      </c>
      <c r="G21" s="176">
        <f>O12/2+P12</f>
        <v>0</v>
      </c>
      <c r="H21" s="176">
        <f>SUM(D21:G21)</f>
        <v>8273</v>
      </c>
      <c r="K21" s="169" t="s">
        <v>185</v>
      </c>
      <c r="L21" s="170">
        <v>0</v>
      </c>
      <c r="M21" s="170">
        <v>6000</v>
      </c>
      <c r="N21" s="170">
        <v>6000</v>
      </c>
      <c r="O21" s="170">
        <v>0</v>
      </c>
      <c r="P21" s="171">
        <v>0</v>
      </c>
    </row>
    <row r="22" spans="2:16" x14ac:dyDescent="0.2">
      <c r="B22" s="177" t="s">
        <v>230</v>
      </c>
      <c r="C22" s="177" t="s">
        <v>48</v>
      </c>
      <c r="D22" s="178">
        <f>+L24+M24/2</f>
        <v>4533.451</v>
      </c>
      <c r="E22" s="178">
        <f>+(M24+N24)/2</f>
        <v>7243.58</v>
      </c>
      <c r="F22" s="178">
        <f>+(N24+O24)/2</f>
        <v>3413.14</v>
      </c>
      <c r="G22" s="178">
        <f>+O24/2+P24</f>
        <v>41.15</v>
      </c>
      <c r="H22" s="178">
        <f>SUM(D22:G22)</f>
        <v>15231.320999999998</v>
      </c>
      <c r="K22" s="169" t="s">
        <v>186</v>
      </c>
      <c r="L22" s="170">
        <v>600</v>
      </c>
      <c r="M22" s="170">
        <v>300</v>
      </c>
      <c r="N22" s="170" t="s">
        <v>179</v>
      </c>
      <c r="O22" s="170" t="s">
        <v>179</v>
      </c>
      <c r="P22" s="171" t="s">
        <v>179</v>
      </c>
    </row>
    <row r="23" spans="2:16" x14ac:dyDescent="0.25">
      <c r="B23" s="221" t="s">
        <v>480</v>
      </c>
      <c r="C23" s="221" t="s">
        <v>48</v>
      </c>
      <c r="D23" s="222">
        <f>+$H$23/4</f>
        <v>125</v>
      </c>
      <c r="E23" s="222">
        <f t="shared" ref="E23:G23" si="0">+$H$23/4</f>
        <v>125</v>
      </c>
      <c r="F23" s="222">
        <f t="shared" si="0"/>
        <v>125</v>
      </c>
      <c r="G23" s="222">
        <f t="shared" si="0"/>
        <v>125</v>
      </c>
      <c r="H23" s="222">
        <v>500</v>
      </c>
      <c r="K23" s="169" t="s">
        <v>187</v>
      </c>
      <c r="L23" s="170" t="s">
        <v>179</v>
      </c>
      <c r="M23" s="170">
        <v>350</v>
      </c>
      <c r="N23" s="170">
        <v>350</v>
      </c>
      <c r="O23" s="170" t="s">
        <v>179</v>
      </c>
      <c r="P23" s="171" t="s">
        <v>179</v>
      </c>
    </row>
    <row r="24" spans="2:16" ht="13.5" thickBot="1" x14ac:dyDescent="0.25">
      <c r="B24" s="179" t="s">
        <v>231</v>
      </c>
      <c r="C24" s="179" t="s">
        <v>48</v>
      </c>
      <c r="D24" s="180">
        <v>817.43610916666682</v>
      </c>
      <c r="E24" s="180">
        <v>817.43610916666682</v>
      </c>
      <c r="F24" s="180">
        <v>817.43610916666682</v>
      </c>
      <c r="G24" s="180">
        <v>817.43610916666682</v>
      </c>
      <c r="H24" s="180">
        <f>SUM(D24:G24)</f>
        <v>3269.7444366666673</v>
      </c>
      <c r="I24" s="37"/>
      <c r="J24" s="37"/>
      <c r="K24" s="172" t="s">
        <v>27</v>
      </c>
      <c r="L24" s="173">
        <f>SUM(L18:L23)</f>
        <v>661.86099999999999</v>
      </c>
      <c r="M24" s="173">
        <f>SUM(M18:M23)</f>
        <v>7743.18</v>
      </c>
      <c r="N24" s="173">
        <f>SUM(N18:N23)</f>
        <v>6743.98</v>
      </c>
      <c r="O24" s="173">
        <f>SUM(O18:O23)</f>
        <v>82.3</v>
      </c>
      <c r="P24" s="174">
        <f>SUM(P18:P23)</f>
        <v>0</v>
      </c>
    </row>
    <row r="25" spans="2:16" x14ac:dyDescent="0.25">
      <c r="B25" s="291" t="s">
        <v>105</v>
      </c>
      <c r="C25" s="292"/>
      <c r="D25" s="292"/>
      <c r="E25" s="292"/>
      <c r="F25" s="292"/>
      <c r="G25" s="292"/>
      <c r="H25" s="293"/>
      <c r="I25" s="37"/>
      <c r="J25" s="37"/>
    </row>
    <row r="26" spans="2:16" ht="13.5" thickBot="1" x14ac:dyDescent="0.25"/>
    <row r="27" spans="2:16" ht="13.5" thickBot="1" x14ac:dyDescent="0.25">
      <c r="K27" s="272" t="s">
        <v>188</v>
      </c>
      <c r="L27" s="273"/>
      <c r="M27" s="273"/>
      <c r="N27" s="273"/>
      <c r="O27" s="273"/>
      <c r="P27" s="274"/>
    </row>
    <row r="28" spans="2:16" ht="15" x14ac:dyDescent="0.25">
      <c r="B28" s="283"/>
      <c r="C28" s="284"/>
      <c r="D28" s="284"/>
      <c r="E28" s="284"/>
      <c r="F28" s="284"/>
      <c r="G28" s="284"/>
      <c r="H28" s="284"/>
      <c r="I28" s="101"/>
      <c r="J28" s="101"/>
      <c r="K28" s="275" t="s">
        <v>104</v>
      </c>
      <c r="L28" s="277" t="s">
        <v>177</v>
      </c>
      <c r="M28" s="277">
        <v>2015</v>
      </c>
      <c r="N28" s="277">
        <v>2016</v>
      </c>
      <c r="O28" s="277">
        <v>2017</v>
      </c>
      <c r="P28" s="279" t="s">
        <v>178</v>
      </c>
    </row>
    <row r="29" spans="2:16" x14ac:dyDescent="0.25">
      <c r="B29" s="285" t="s">
        <v>106</v>
      </c>
      <c r="C29" s="285"/>
      <c r="D29" s="50" t="s">
        <v>171</v>
      </c>
      <c r="E29" s="50" t="s">
        <v>172</v>
      </c>
      <c r="F29" s="50" t="s">
        <v>173</v>
      </c>
      <c r="G29" s="50" t="s">
        <v>174</v>
      </c>
      <c r="H29" s="57" t="s">
        <v>107</v>
      </c>
      <c r="K29" s="276"/>
      <c r="L29" s="278"/>
      <c r="M29" s="278"/>
      <c r="N29" s="278"/>
      <c r="O29" s="278"/>
      <c r="P29" s="280"/>
    </row>
    <row r="30" spans="2:16" ht="15" customHeight="1" x14ac:dyDescent="0.25">
      <c r="B30" s="285"/>
      <c r="C30" s="285"/>
      <c r="D30" s="57" t="s">
        <v>123</v>
      </c>
      <c r="E30" s="57" t="s">
        <v>123</v>
      </c>
      <c r="F30" s="57" t="s">
        <v>123</v>
      </c>
      <c r="G30" s="57" t="s">
        <v>123</v>
      </c>
      <c r="H30" s="57" t="s">
        <v>79</v>
      </c>
      <c r="K30" s="169" t="s">
        <v>189</v>
      </c>
      <c r="L30" s="170">
        <v>137.5</v>
      </c>
      <c r="M30" s="170">
        <v>557.70000000000005</v>
      </c>
      <c r="N30" s="170">
        <v>572</v>
      </c>
      <c r="O30" s="170">
        <v>580.79999999999995</v>
      </c>
      <c r="P30" s="171">
        <v>275</v>
      </c>
    </row>
    <row r="31" spans="2:16" ht="15" customHeight="1" x14ac:dyDescent="0.25">
      <c r="B31" s="286" t="s">
        <v>65</v>
      </c>
      <c r="C31" s="287"/>
      <c r="D31" s="228">
        <f>+L37+M37/2</f>
        <v>538.75</v>
      </c>
      <c r="E31" s="228">
        <f>+(M37+N37)/2</f>
        <v>737.65000000000009</v>
      </c>
      <c r="F31" s="228">
        <f>+(N37+O37)/2</f>
        <v>781.59999999999991</v>
      </c>
      <c r="G31" s="228">
        <f>+O37/2+P37</f>
        <v>2069.8000000000002</v>
      </c>
      <c r="H31" s="229">
        <v>2211.12</v>
      </c>
      <c r="K31" s="169" t="s">
        <v>190</v>
      </c>
      <c r="L31" s="170">
        <v>50.4</v>
      </c>
      <c r="M31" s="170"/>
      <c r="N31" s="170"/>
      <c r="O31" s="170"/>
      <c r="P31" s="171"/>
    </row>
    <row r="32" spans="2:16" x14ac:dyDescent="0.25">
      <c r="K32" s="169" t="s">
        <v>191</v>
      </c>
      <c r="L32" s="170"/>
      <c r="M32" s="170">
        <v>144</v>
      </c>
      <c r="N32" s="170"/>
      <c r="O32" s="170"/>
      <c r="P32" s="171"/>
    </row>
    <row r="33" spans="4:22" x14ac:dyDescent="0.25">
      <c r="K33" s="169" t="s">
        <v>192</v>
      </c>
      <c r="L33" s="170"/>
      <c r="M33" s="170"/>
      <c r="N33" s="170">
        <v>201.6</v>
      </c>
      <c r="O33" s="170"/>
      <c r="P33" s="171"/>
    </row>
    <row r="34" spans="4:22" ht="15" customHeight="1" x14ac:dyDescent="0.25">
      <c r="D34" s="102"/>
      <c r="K34" s="169" t="s">
        <v>193</v>
      </c>
      <c r="L34" s="170"/>
      <c r="M34" s="170"/>
      <c r="N34" s="170"/>
      <c r="O34" s="170">
        <v>208.8</v>
      </c>
      <c r="P34" s="171"/>
    </row>
    <row r="35" spans="4:22" x14ac:dyDescent="0.25">
      <c r="D35" s="102"/>
      <c r="I35" s="37"/>
      <c r="J35" s="37"/>
      <c r="K35" s="169" t="s">
        <v>194</v>
      </c>
      <c r="L35" s="170"/>
      <c r="M35" s="170"/>
      <c r="N35" s="170"/>
      <c r="O35" s="170"/>
      <c r="P35" s="171">
        <v>800</v>
      </c>
    </row>
    <row r="36" spans="4:22" x14ac:dyDescent="0.25">
      <c r="D36" s="102"/>
      <c r="E36" s="102"/>
      <c r="K36" s="169" t="s">
        <v>195</v>
      </c>
      <c r="L36" s="170"/>
      <c r="M36" s="170"/>
      <c r="N36" s="170"/>
      <c r="O36" s="170"/>
      <c r="P36" s="171">
        <v>600</v>
      </c>
    </row>
    <row r="37" spans="4:22" ht="13.5" thickBot="1" x14ac:dyDescent="0.25">
      <c r="D37" s="102"/>
      <c r="E37" s="102"/>
      <c r="K37" s="172" t="s">
        <v>27</v>
      </c>
      <c r="L37" s="173">
        <f>SUM(L30:L36)</f>
        <v>187.9</v>
      </c>
      <c r="M37" s="173">
        <f>SUM(M30:M36)</f>
        <v>701.7</v>
      </c>
      <c r="N37" s="173">
        <f>SUM(N30:N36)</f>
        <v>773.6</v>
      </c>
      <c r="O37" s="173">
        <f>SUM(O30:O36)</f>
        <v>789.59999999999991</v>
      </c>
      <c r="P37" s="174">
        <f>SUM(P30:P36)</f>
        <v>1675</v>
      </c>
    </row>
    <row r="38" spans="4:22" ht="13.5" thickBot="1" x14ac:dyDescent="0.25">
      <c r="D38" s="102"/>
      <c r="E38" s="102"/>
    </row>
    <row r="39" spans="4:22" x14ac:dyDescent="0.25">
      <c r="J39" s="288" t="s">
        <v>241</v>
      </c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90"/>
    </row>
    <row r="40" spans="4:22" ht="22.5" x14ac:dyDescent="0.25">
      <c r="J40" s="236" t="s">
        <v>472</v>
      </c>
      <c r="K40" s="231" t="s">
        <v>196</v>
      </c>
      <c r="L40" s="231" t="s">
        <v>197</v>
      </c>
      <c r="M40" s="231" t="s">
        <v>198</v>
      </c>
      <c r="N40" s="232" t="s">
        <v>199</v>
      </c>
      <c r="O40" s="231" t="s">
        <v>200</v>
      </c>
      <c r="P40" s="232" t="s">
        <v>473</v>
      </c>
      <c r="Q40" s="231" t="s">
        <v>474</v>
      </c>
      <c r="R40" s="233" t="s">
        <v>475</v>
      </c>
      <c r="S40" s="233" t="s">
        <v>476</v>
      </c>
      <c r="T40" s="233" t="s">
        <v>477</v>
      </c>
      <c r="U40" s="233" t="s">
        <v>478</v>
      </c>
      <c r="V40" s="237" t="s">
        <v>479</v>
      </c>
    </row>
    <row r="41" spans="4:22" x14ac:dyDescent="0.25">
      <c r="J41" s="238">
        <v>1</v>
      </c>
      <c r="K41" s="213" t="s">
        <v>206</v>
      </c>
      <c r="L41" s="213" t="s">
        <v>207</v>
      </c>
      <c r="M41" s="213" t="s">
        <v>208</v>
      </c>
      <c r="N41" s="214" t="s">
        <v>242</v>
      </c>
      <c r="O41" s="213">
        <v>75</v>
      </c>
      <c r="P41" s="213">
        <v>75</v>
      </c>
      <c r="Q41" s="213">
        <v>60</v>
      </c>
      <c r="R41" s="230">
        <v>2.35</v>
      </c>
      <c r="S41" s="230">
        <v>0.8</v>
      </c>
      <c r="T41" s="230">
        <v>0.23</v>
      </c>
      <c r="U41" s="230">
        <v>0</v>
      </c>
      <c r="V41" s="239">
        <v>1.03</v>
      </c>
    </row>
    <row r="42" spans="4:22" x14ac:dyDescent="0.25">
      <c r="J42" s="238">
        <v>1</v>
      </c>
      <c r="K42" s="213" t="s">
        <v>206</v>
      </c>
      <c r="L42" s="213" t="s">
        <v>207</v>
      </c>
      <c r="M42" s="213" t="s">
        <v>223</v>
      </c>
      <c r="N42" s="214" t="s">
        <v>243</v>
      </c>
      <c r="O42" s="213">
        <v>67</v>
      </c>
      <c r="P42" s="213">
        <v>67</v>
      </c>
      <c r="Q42" s="213">
        <v>52</v>
      </c>
      <c r="R42" s="230">
        <v>1.93</v>
      </c>
      <c r="S42" s="230">
        <v>0.3</v>
      </c>
      <c r="T42" s="230">
        <v>0.4</v>
      </c>
      <c r="U42" s="230">
        <v>0.2</v>
      </c>
      <c r="V42" s="239">
        <v>0.9</v>
      </c>
    </row>
    <row r="43" spans="4:22" x14ac:dyDescent="0.25">
      <c r="D43" s="102"/>
      <c r="E43" s="102"/>
      <c r="J43" s="238">
        <v>1</v>
      </c>
      <c r="K43" s="213" t="s">
        <v>206</v>
      </c>
      <c r="L43" s="213" t="s">
        <v>207</v>
      </c>
      <c r="M43" s="213" t="s">
        <v>223</v>
      </c>
      <c r="N43" s="214" t="s">
        <v>224</v>
      </c>
      <c r="O43" s="213">
        <v>70</v>
      </c>
      <c r="P43" s="213">
        <v>70</v>
      </c>
      <c r="Q43" s="213">
        <v>58</v>
      </c>
      <c r="R43" s="230">
        <v>1.83</v>
      </c>
      <c r="S43" s="230">
        <v>1.1000000000000001</v>
      </c>
      <c r="T43" s="230">
        <v>0.56999999999999995</v>
      </c>
      <c r="U43" s="230">
        <v>0.2</v>
      </c>
      <c r="V43" s="239">
        <v>1.87</v>
      </c>
    </row>
    <row r="44" spans="4:22" x14ac:dyDescent="0.25">
      <c r="J44" s="238">
        <v>1</v>
      </c>
      <c r="K44" s="213" t="s">
        <v>206</v>
      </c>
      <c r="L44" s="215" t="s">
        <v>206</v>
      </c>
      <c r="M44" s="213" t="s">
        <v>206</v>
      </c>
      <c r="N44" s="213" t="s">
        <v>244</v>
      </c>
      <c r="O44" s="213">
        <v>50</v>
      </c>
      <c r="P44" s="213">
        <v>50</v>
      </c>
      <c r="Q44" s="213">
        <v>38</v>
      </c>
      <c r="R44" s="230">
        <v>1.75</v>
      </c>
      <c r="S44" s="230">
        <v>14.5</v>
      </c>
      <c r="T44" s="230">
        <v>1.8</v>
      </c>
      <c r="U44" s="230">
        <v>0.5</v>
      </c>
      <c r="V44" s="239">
        <v>16.8</v>
      </c>
    </row>
    <row r="45" spans="4:22" x14ac:dyDescent="0.25">
      <c r="J45" s="238">
        <v>1</v>
      </c>
      <c r="K45" s="213" t="s">
        <v>206</v>
      </c>
      <c r="L45" s="215" t="s">
        <v>207</v>
      </c>
      <c r="M45" s="213" t="s">
        <v>223</v>
      </c>
      <c r="N45" s="213" t="s">
        <v>245</v>
      </c>
      <c r="O45" s="213">
        <v>150</v>
      </c>
      <c r="P45" s="213">
        <v>150</v>
      </c>
      <c r="Q45" s="213">
        <v>123</v>
      </c>
      <c r="R45" s="230">
        <v>3.89</v>
      </c>
      <c r="S45" s="230">
        <v>1.9</v>
      </c>
      <c r="T45" s="230">
        <v>1.7</v>
      </c>
      <c r="U45" s="230">
        <v>0.5</v>
      </c>
      <c r="V45" s="239">
        <v>4.0999999999999996</v>
      </c>
    </row>
    <row r="46" spans="4:22" x14ac:dyDescent="0.25">
      <c r="J46" s="238">
        <v>1</v>
      </c>
      <c r="K46" s="213" t="s">
        <v>206</v>
      </c>
      <c r="L46" s="215" t="s">
        <v>207</v>
      </c>
      <c r="M46" s="213" t="s">
        <v>208</v>
      </c>
      <c r="N46" s="213" t="s">
        <v>246</v>
      </c>
      <c r="O46" s="213">
        <v>70</v>
      </c>
      <c r="P46" s="213">
        <v>70</v>
      </c>
      <c r="Q46" s="213">
        <v>59</v>
      </c>
      <c r="R46" s="230">
        <v>2.34</v>
      </c>
      <c r="S46" s="230">
        <v>8</v>
      </c>
      <c r="T46" s="230">
        <v>1.5</v>
      </c>
      <c r="U46" s="230">
        <v>0.4</v>
      </c>
      <c r="V46" s="239">
        <v>9.9</v>
      </c>
    </row>
    <row r="47" spans="4:22" x14ac:dyDescent="0.25">
      <c r="J47" s="238">
        <v>1</v>
      </c>
      <c r="K47" s="213" t="s">
        <v>206</v>
      </c>
      <c r="L47" s="215" t="s">
        <v>207</v>
      </c>
      <c r="M47" s="213" t="s">
        <v>247</v>
      </c>
      <c r="N47" s="213" t="s">
        <v>248</v>
      </c>
      <c r="O47" s="213">
        <v>14</v>
      </c>
      <c r="P47" s="213">
        <v>14</v>
      </c>
      <c r="Q47" s="213">
        <v>10</v>
      </c>
      <c r="R47" s="230">
        <v>0.41</v>
      </c>
      <c r="S47" s="230">
        <v>0.6</v>
      </c>
      <c r="T47" s="230">
        <v>0.2</v>
      </c>
      <c r="U47" s="230">
        <v>0.15</v>
      </c>
      <c r="V47" s="239">
        <v>0.95</v>
      </c>
    </row>
    <row r="48" spans="4:22" x14ac:dyDescent="0.25">
      <c r="J48" s="238">
        <v>1</v>
      </c>
      <c r="K48" s="213" t="s">
        <v>206</v>
      </c>
      <c r="L48" s="215" t="s">
        <v>249</v>
      </c>
      <c r="M48" s="213" t="s">
        <v>250</v>
      </c>
      <c r="N48" s="213" t="s">
        <v>251</v>
      </c>
      <c r="O48" s="213">
        <v>40</v>
      </c>
      <c r="P48" s="213">
        <v>40</v>
      </c>
      <c r="Q48" s="213">
        <v>30</v>
      </c>
      <c r="R48" s="230">
        <v>1.82</v>
      </c>
      <c r="S48" s="230">
        <v>6</v>
      </c>
      <c r="T48" s="230">
        <v>1</v>
      </c>
      <c r="U48" s="230">
        <v>0.38</v>
      </c>
      <c r="V48" s="239">
        <v>7.38</v>
      </c>
    </row>
    <row r="49" spans="10:22" x14ac:dyDescent="0.25">
      <c r="J49" s="238">
        <v>1</v>
      </c>
      <c r="K49" s="213" t="s">
        <v>206</v>
      </c>
      <c r="L49" s="215" t="s">
        <v>249</v>
      </c>
      <c r="M49" s="213" t="s">
        <v>250</v>
      </c>
      <c r="N49" s="213" t="s">
        <v>252</v>
      </c>
      <c r="O49" s="213">
        <v>30</v>
      </c>
      <c r="P49" s="213">
        <v>30</v>
      </c>
      <c r="Q49" s="213">
        <v>21</v>
      </c>
      <c r="R49" s="230">
        <v>1.52</v>
      </c>
      <c r="S49" s="230">
        <v>1.78</v>
      </c>
      <c r="T49" s="230">
        <v>0.7</v>
      </c>
      <c r="U49" s="230">
        <v>0.4</v>
      </c>
      <c r="V49" s="239">
        <v>2.88</v>
      </c>
    </row>
    <row r="50" spans="10:22" x14ac:dyDescent="0.25">
      <c r="J50" s="238">
        <v>1</v>
      </c>
      <c r="K50" s="213" t="s">
        <v>206</v>
      </c>
      <c r="L50" s="215" t="s">
        <v>207</v>
      </c>
      <c r="M50" s="213" t="s">
        <v>208</v>
      </c>
      <c r="N50" s="213" t="s">
        <v>221</v>
      </c>
      <c r="O50" s="213">
        <v>42</v>
      </c>
      <c r="P50" s="213">
        <v>42</v>
      </c>
      <c r="Q50" s="213">
        <v>31</v>
      </c>
      <c r="R50" s="230">
        <v>1.96</v>
      </c>
      <c r="S50" s="230">
        <v>1.24</v>
      </c>
      <c r="T50" s="230">
        <v>0.68</v>
      </c>
      <c r="U50" s="230">
        <v>0.21</v>
      </c>
      <c r="V50" s="239">
        <v>2.13</v>
      </c>
    </row>
    <row r="51" spans="10:22" x14ac:dyDescent="0.25">
      <c r="J51" s="236">
        <f>SUM(J41:J50)</f>
        <v>10</v>
      </c>
      <c r="K51" s="281" t="s">
        <v>27</v>
      </c>
      <c r="L51" s="281"/>
      <c r="M51" s="281"/>
      <c r="N51" s="281"/>
      <c r="O51" s="235">
        <f t="shared" ref="O51:V51" si="1">SUM(O41:O50)</f>
        <v>608</v>
      </c>
      <c r="P51" s="235">
        <f t="shared" si="1"/>
        <v>608</v>
      </c>
      <c r="Q51" s="235">
        <f t="shared" si="1"/>
        <v>482</v>
      </c>
      <c r="R51" s="234">
        <f t="shared" si="1"/>
        <v>19.8</v>
      </c>
      <c r="S51" s="234">
        <f t="shared" si="1"/>
        <v>36.220000000000006</v>
      </c>
      <c r="T51" s="234">
        <f t="shared" si="1"/>
        <v>8.7799999999999994</v>
      </c>
      <c r="U51" s="234">
        <f t="shared" si="1"/>
        <v>2.9399999999999995</v>
      </c>
      <c r="V51" s="237">
        <f t="shared" si="1"/>
        <v>47.940000000000012</v>
      </c>
    </row>
    <row r="52" spans="10:22" x14ac:dyDescent="0.25">
      <c r="J52" s="240">
        <v>1</v>
      </c>
      <c r="K52" s="214" t="s">
        <v>201</v>
      </c>
      <c r="L52" s="214" t="s">
        <v>204</v>
      </c>
      <c r="M52" s="214" t="s">
        <v>253</v>
      </c>
      <c r="N52" s="214" t="s">
        <v>254</v>
      </c>
      <c r="O52" s="214">
        <v>10</v>
      </c>
      <c r="P52" s="214">
        <v>10</v>
      </c>
      <c r="Q52" s="214">
        <v>10</v>
      </c>
      <c r="R52" s="247">
        <v>0.35199999999999998</v>
      </c>
      <c r="S52" s="247">
        <v>0.26200000000000001</v>
      </c>
      <c r="T52" s="247">
        <v>0.503</v>
      </c>
      <c r="U52" s="247">
        <v>0.51100000000000001</v>
      </c>
      <c r="V52" s="241">
        <v>1.276</v>
      </c>
    </row>
    <row r="53" spans="10:22" x14ac:dyDescent="0.25">
      <c r="J53" s="240">
        <v>1</v>
      </c>
      <c r="K53" s="214" t="s">
        <v>201</v>
      </c>
      <c r="L53" s="214" t="s">
        <v>204</v>
      </c>
      <c r="M53" s="214" t="s">
        <v>253</v>
      </c>
      <c r="N53" s="214" t="s">
        <v>255</v>
      </c>
      <c r="O53" s="214">
        <v>5</v>
      </c>
      <c r="P53" s="214">
        <v>5</v>
      </c>
      <c r="Q53" s="214">
        <v>4</v>
      </c>
      <c r="R53" s="247">
        <v>0.14799999999999999</v>
      </c>
      <c r="S53" s="247">
        <v>0.156</v>
      </c>
      <c r="T53" s="247">
        <v>0</v>
      </c>
      <c r="U53" s="247">
        <v>0.14299999999999999</v>
      </c>
      <c r="V53" s="241">
        <v>0.29899999999999999</v>
      </c>
    </row>
    <row r="54" spans="10:22" x14ac:dyDescent="0.25">
      <c r="J54" s="240">
        <v>1</v>
      </c>
      <c r="K54" s="214" t="s">
        <v>201</v>
      </c>
      <c r="L54" s="214" t="s">
        <v>204</v>
      </c>
      <c r="M54" s="214" t="s">
        <v>253</v>
      </c>
      <c r="N54" s="214" t="s">
        <v>256</v>
      </c>
      <c r="O54" s="214">
        <v>14</v>
      </c>
      <c r="P54" s="214">
        <v>14</v>
      </c>
      <c r="Q54" s="214">
        <v>14</v>
      </c>
      <c r="R54" s="247">
        <v>1.54</v>
      </c>
      <c r="S54" s="247">
        <v>1.27</v>
      </c>
      <c r="T54" s="247">
        <v>0.27</v>
      </c>
      <c r="U54" s="247">
        <v>0</v>
      </c>
      <c r="V54" s="241">
        <v>1.54</v>
      </c>
    </row>
    <row r="55" spans="10:22" x14ac:dyDescent="0.25">
      <c r="J55" s="240">
        <v>1</v>
      </c>
      <c r="K55" s="214" t="s">
        <v>201</v>
      </c>
      <c r="L55" s="214" t="s">
        <v>204</v>
      </c>
      <c r="M55" s="214" t="s">
        <v>214</v>
      </c>
      <c r="N55" s="214" t="s">
        <v>257</v>
      </c>
      <c r="O55" s="214">
        <v>6</v>
      </c>
      <c r="P55" s="214">
        <v>6</v>
      </c>
      <c r="Q55" s="214">
        <v>6</v>
      </c>
      <c r="R55" s="247">
        <v>0.27600000000000002</v>
      </c>
      <c r="S55" s="247">
        <v>0.27600000000000002</v>
      </c>
      <c r="T55" s="247">
        <v>0.22600000000000001</v>
      </c>
      <c r="U55" s="247">
        <v>0.27400000000000002</v>
      </c>
      <c r="V55" s="241">
        <v>0.77600000000000002</v>
      </c>
    </row>
    <row r="56" spans="10:22" x14ac:dyDescent="0.25">
      <c r="J56" s="240">
        <v>1</v>
      </c>
      <c r="K56" s="214" t="s">
        <v>201</v>
      </c>
      <c r="L56" s="214" t="s">
        <v>204</v>
      </c>
      <c r="M56" s="214" t="s">
        <v>214</v>
      </c>
      <c r="N56" s="214" t="s">
        <v>215</v>
      </c>
      <c r="O56" s="214">
        <v>29</v>
      </c>
      <c r="P56" s="214">
        <v>29</v>
      </c>
      <c r="Q56" s="214">
        <v>0</v>
      </c>
      <c r="R56" s="247">
        <v>7</v>
      </c>
      <c r="S56" s="247">
        <v>0.69</v>
      </c>
      <c r="T56" s="247">
        <v>0.61</v>
      </c>
      <c r="U56" s="247">
        <v>1.2999999999999998</v>
      </c>
      <c r="V56" s="241">
        <v>5.52</v>
      </c>
    </row>
    <row r="57" spans="10:22" x14ac:dyDescent="0.25">
      <c r="J57" s="240">
        <v>1</v>
      </c>
      <c r="K57" s="214" t="s">
        <v>201</v>
      </c>
      <c r="L57" s="214" t="s">
        <v>204</v>
      </c>
      <c r="M57" s="214" t="s">
        <v>258</v>
      </c>
      <c r="N57" s="214" t="s">
        <v>259</v>
      </c>
      <c r="O57" s="214">
        <v>5</v>
      </c>
      <c r="P57" s="214">
        <v>5</v>
      </c>
      <c r="Q57" s="214">
        <v>5</v>
      </c>
      <c r="R57" s="247">
        <v>0.7</v>
      </c>
      <c r="S57" s="247">
        <v>1</v>
      </c>
      <c r="T57" s="247">
        <v>0.15</v>
      </c>
      <c r="U57" s="247">
        <v>0.15</v>
      </c>
      <c r="V57" s="241">
        <v>1.2999999999999998</v>
      </c>
    </row>
    <row r="58" spans="10:22" x14ac:dyDescent="0.25">
      <c r="J58" s="240">
        <v>1</v>
      </c>
      <c r="K58" s="214" t="s">
        <v>201</v>
      </c>
      <c r="L58" s="214" t="s">
        <v>204</v>
      </c>
      <c r="M58" s="214" t="s">
        <v>260</v>
      </c>
      <c r="N58" s="214" t="s">
        <v>261</v>
      </c>
      <c r="O58" s="214">
        <v>27</v>
      </c>
      <c r="P58" s="214">
        <v>27</v>
      </c>
      <c r="Q58" s="214">
        <v>27</v>
      </c>
      <c r="R58" s="247">
        <v>0.7</v>
      </c>
      <c r="S58" s="247">
        <v>7.75</v>
      </c>
      <c r="T58" s="247">
        <v>0.85</v>
      </c>
      <c r="U58" s="247">
        <v>0.4</v>
      </c>
      <c r="V58" s="241">
        <v>9</v>
      </c>
    </row>
    <row r="59" spans="10:22" x14ac:dyDescent="0.25">
      <c r="J59" s="240">
        <v>1</v>
      </c>
      <c r="K59" s="214" t="s">
        <v>201</v>
      </c>
      <c r="L59" s="214" t="s">
        <v>204</v>
      </c>
      <c r="M59" s="214" t="s">
        <v>260</v>
      </c>
      <c r="N59" s="214" t="s">
        <v>262</v>
      </c>
      <c r="O59" s="214">
        <v>11</v>
      </c>
      <c r="P59" s="214">
        <v>11</v>
      </c>
      <c r="Q59" s="214">
        <v>11</v>
      </c>
      <c r="R59" s="247">
        <v>1.8220000000000001</v>
      </c>
      <c r="S59" s="247">
        <v>0.79700000000000004</v>
      </c>
      <c r="T59" s="247">
        <v>0.30599999999999999</v>
      </c>
      <c r="U59" s="247">
        <v>0.3</v>
      </c>
      <c r="V59" s="241">
        <v>2.2999999999999998</v>
      </c>
    </row>
    <row r="60" spans="10:22" x14ac:dyDescent="0.25">
      <c r="J60" s="240">
        <v>1</v>
      </c>
      <c r="K60" s="214" t="s">
        <v>201</v>
      </c>
      <c r="L60" s="214" t="s">
        <v>204</v>
      </c>
      <c r="M60" s="214" t="s">
        <v>263</v>
      </c>
      <c r="N60" s="214" t="s">
        <v>264</v>
      </c>
      <c r="O60" s="214">
        <v>6</v>
      </c>
      <c r="P60" s="214">
        <v>6</v>
      </c>
      <c r="Q60" s="214">
        <v>6</v>
      </c>
      <c r="R60" s="247">
        <v>0.7</v>
      </c>
      <c r="S60" s="247">
        <v>0.6</v>
      </c>
      <c r="T60" s="247">
        <v>0.5</v>
      </c>
      <c r="U60" s="247">
        <v>0.15</v>
      </c>
      <c r="V60" s="241">
        <v>1.25</v>
      </c>
    </row>
    <row r="61" spans="10:22" x14ac:dyDescent="0.25">
      <c r="J61" s="240">
        <v>1</v>
      </c>
      <c r="K61" s="214" t="s">
        <v>201</v>
      </c>
      <c r="L61" s="214" t="s">
        <v>204</v>
      </c>
      <c r="M61" s="214" t="s">
        <v>265</v>
      </c>
      <c r="N61" s="214" t="s">
        <v>266</v>
      </c>
      <c r="O61" s="214">
        <v>9</v>
      </c>
      <c r="P61" s="214">
        <v>9</v>
      </c>
      <c r="Q61" s="214">
        <v>9</v>
      </c>
      <c r="R61" s="247">
        <v>0.7</v>
      </c>
      <c r="S61" s="247">
        <v>0</v>
      </c>
      <c r="T61" s="247">
        <v>0</v>
      </c>
      <c r="U61" s="247">
        <v>0.2</v>
      </c>
      <c r="V61" s="241">
        <v>0.2</v>
      </c>
    </row>
    <row r="62" spans="10:22" x14ac:dyDescent="0.25">
      <c r="J62" s="240">
        <v>1</v>
      </c>
      <c r="K62" s="214" t="s">
        <v>201</v>
      </c>
      <c r="L62" s="214" t="s">
        <v>204</v>
      </c>
      <c r="M62" s="214" t="s">
        <v>267</v>
      </c>
      <c r="N62" s="214" t="s">
        <v>268</v>
      </c>
      <c r="O62" s="214">
        <v>4</v>
      </c>
      <c r="P62" s="214">
        <v>4</v>
      </c>
      <c r="Q62" s="214">
        <v>4</v>
      </c>
      <c r="R62" s="247">
        <v>0.7</v>
      </c>
      <c r="S62" s="247">
        <v>0.5</v>
      </c>
      <c r="T62" s="247">
        <v>0</v>
      </c>
      <c r="U62" s="247">
        <v>0.1</v>
      </c>
      <c r="V62" s="241">
        <v>0.6</v>
      </c>
    </row>
    <row r="63" spans="10:22" x14ac:dyDescent="0.25">
      <c r="J63" s="240">
        <v>1</v>
      </c>
      <c r="K63" s="214" t="s">
        <v>201</v>
      </c>
      <c r="L63" s="214" t="s">
        <v>204</v>
      </c>
      <c r="M63" s="214" t="s">
        <v>267</v>
      </c>
      <c r="N63" s="214" t="s">
        <v>269</v>
      </c>
      <c r="O63" s="214">
        <v>13</v>
      </c>
      <c r="P63" s="214">
        <v>13</v>
      </c>
      <c r="Q63" s="214">
        <v>13</v>
      </c>
      <c r="R63" s="247">
        <v>0.7</v>
      </c>
      <c r="S63" s="247">
        <v>0.6</v>
      </c>
      <c r="T63" s="247">
        <v>0.2</v>
      </c>
      <c r="U63" s="247">
        <v>0.1</v>
      </c>
      <c r="V63" s="241">
        <v>0.9</v>
      </c>
    </row>
    <row r="64" spans="10:22" x14ac:dyDescent="0.25">
      <c r="J64" s="240">
        <v>1</v>
      </c>
      <c r="K64" s="214" t="s">
        <v>201</v>
      </c>
      <c r="L64" s="214" t="s">
        <v>204</v>
      </c>
      <c r="M64" s="214" t="s">
        <v>267</v>
      </c>
      <c r="N64" s="214" t="s">
        <v>205</v>
      </c>
      <c r="O64" s="214">
        <v>11</v>
      </c>
      <c r="P64" s="214">
        <v>11</v>
      </c>
      <c r="Q64" s="214">
        <v>11</v>
      </c>
      <c r="R64" s="247">
        <v>0.7</v>
      </c>
      <c r="S64" s="247">
        <v>0.68</v>
      </c>
      <c r="T64" s="247">
        <v>0</v>
      </c>
      <c r="U64" s="247">
        <v>0.33</v>
      </c>
      <c r="V64" s="241">
        <v>1.01</v>
      </c>
    </row>
    <row r="65" spans="10:22" x14ac:dyDescent="0.25">
      <c r="J65" s="240">
        <v>1</v>
      </c>
      <c r="K65" s="214" t="s">
        <v>201</v>
      </c>
      <c r="L65" s="214" t="s">
        <v>204</v>
      </c>
      <c r="M65" s="214" t="s">
        <v>267</v>
      </c>
      <c r="N65" s="214" t="s">
        <v>270</v>
      </c>
      <c r="O65" s="214">
        <v>9</v>
      </c>
      <c r="P65" s="214">
        <v>9</v>
      </c>
      <c r="Q65" s="214">
        <v>9</v>
      </c>
      <c r="R65" s="247">
        <v>0.7</v>
      </c>
      <c r="S65" s="247">
        <v>0.25</v>
      </c>
      <c r="T65" s="247">
        <v>0.15</v>
      </c>
      <c r="U65" s="247">
        <v>0.25</v>
      </c>
      <c r="V65" s="241">
        <v>0.65</v>
      </c>
    </row>
    <row r="66" spans="10:22" x14ac:dyDescent="0.25">
      <c r="J66" s="240">
        <v>1</v>
      </c>
      <c r="K66" s="214" t="s">
        <v>201</v>
      </c>
      <c r="L66" s="214" t="s">
        <v>204</v>
      </c>
      <c r="M66" s="214" t="s">
        <v>267</v>
      </c>
      <c r="N66" s="214" t="s">
        <v>271</v>
      </c>
      <c r="O66" s="214">
        <v>6</v>
      </c>
      <c r="P66" s="214">
        <v>6</v>
      </c>
      <c r="Q66" s="214">
        <v>6</v>
      </c>
      <c r="R66" s="247">
        <v>0.7</v>
      </c>
      <c r="S66" s="247">
        <v>0.3</v>
      </c>
      <c r="T66" s="247">
        <v>0</v>
      </c>
      <c r="U66" s="247">
        <v>0.3</v>
      </c>
      <c r="V66" s="241">
        <v>0.6</v>
      </c>
    </row>
    <row r="67" spans="10:22" x14ac:dyDescent="0.25">
      <c r="J67" s="238">
        <v>1</v>
      </c>
      <c r="K67" s="214" t="s">
        <v>201</v>
      </c>
      <c r="L67" s="214" t="s">
        <v>204</v>
      </c>
      <c r="M67" s="214" t="s">
        <v>267</v>
      </c>
      <c r="N67" s="214" t="s">
        <v>272</v>
      </c>
      <c r="O67" s="214">
        <v>5</v>
      </c>
      <c r="P67" s="214">
        <v>5</v>
      </c>
      <c r="Q67" s="214"/>
      <c r="R67" s="247"/>
      <c r="S67" s="247"/>
      <c r="T67" s="247"/>
      <c r="U67" s="247"/>
      <c r="V67" s="241">
        <v>0.4</v>
      </c>
    </row>
    <row r="68" spans="10:22" x14ac:dyDescent="0.25">
      <c r="J68" s="238">
        <v>1</v>
      </c>
      <c r="K68" s="214" t="s">
        <v>201</v>
      </c>
      <c r="L68" s="214" t="s">
        <v>273</v>
      </c>
      <c r="M68" s="214" t="s">
        <v>274</v>
      </c>
      <c r="N68" s="214" t="s">
        <v>275</v>
      </c>
      <c r="O68" s="214">
        <v>4</v>
      </c>
      <c r="P68" s="214">
        <v>4</v>
      </c>
      <c r="Q68" s="214">
        <v>4</v>
      </c>
      <c r="R68" s="247">
        <v>0.7</v>
      </c>
      <c r="S68" s="247">
        <v>0.6</v>
      </c>
      <c r="T68" s="247">
        <v>0.3</v>
      </c>
      <c r="U68" s="247">
        <v>0.15</v>
      </c>
      <c r="V68" s="241">
        <v>1.0499999999999998</v>
      </c>
    </row>
    <row r="69" spans="10:22" x14ac:dyDescent="0.25">
      <c r="J69" s="238">
        <v>1</v>
      </c>
      <c r="K69" s="214" t="s">
        <v>201</v>
      </c>
      <c r="L69" s="214" t="s">
        <v>273</v>
      </c>
      <c r="M69" s="214" t="s">
        <v>274</v>
      </c>
      <c r="N69" s="214" t="s">
        <v>276</v>
      </c>
      <c r="O69" s="214">
        <v>7</v>
      </c>
      <c r="P69" s="214">
        <v>7</v>
      </c>
      <c r="Q69" s="214">
        <v>7</v>
      </c>
      <c r="R69" s="247">
        <v>0.7</v>
      </c>
      <c r="S69" s="247">
        <v>0.4</v>
      </c>
      <c r="T69" s="247">
        <v>0.3</v>
      </c>
      <c r="U69" s="247">
        <v>0</v>
      </c>
      <c r="V69" s="241">
        <v>0.7</v>
      </c>
    </row>
    <row r="70" spans="10:22" x14ac:dyDescent="0.25">
      <c r="J70" s="238">
        <v>1</v>
      </c>
      <c r="K70" s="214" t="s">
        <v>201</v>
      </c>
      <c r="L70" s="214" t="s">
        <v>273</v>
      </c>
      <c r="M70" s="214" t="s">
        <v>274</v>
      </c>
      <c r="N70" s="214" t="s">
        <v>277</v>
      </c>
      <c r="O70" s="214">
        <v>8</v>
      </c>
      <c r="P70" s="214">
        <v>8</v>
      </c>
      <c r="Q70" s="214">
        <v>6</v>
      </c>
      <c r="R70" s="247">
        <v>0.7</v>
      </c>
      <c r="S70" s="247">
        <v>0.15</v>
      </c>
      <c r="T70" s="247">
        <v>0.2</v>
      </c>
      <c r="U70" s="247">
        <v>0.1</v>
      </c>
      <c r="V70" s="241">
        <v>0.44999999999999996</v>
      </c>
    </row>
    <row r="71" spans="10:22" x14ac:dyDescent="0.25">
      <c r="J71" s="238">
        <v>1</v>
      </c>
      <c r="K71" s="214" t="s">
        <v>201</v>
      </c>
      <c r="L71" s="214" t="s">
        <v>273</v>
      </c>
      <c r="M71" s="214" t="s">
        <v>274</v>
      </c>
      <c r="N71" s="214" t="s">
        <v>278</v>
      </c>
      <c r="O71" s="214">
        <v>6</v>
      </c>
      <c r="P71" s="214">
        <v>6</v>
      </c>
      <c r="Q71" s="214"/>
      <c r="R71" s="247"/>
      <c r="S71" s="247"/>
      <c r="T71" s="247"/>
      <c r="U71" s="247"/>
      <c r="V71" s="241">
        <v>0.57999999999999996</v>
      </c>
    </row>
    <row r="72" spans="10:22" x14ac:dyDescent="0.25">
      <c r="J72" s="238">
        <v>1</v>
      </c>
      <c r="K72" s="214" t="s">
        <v>201</v>
      </c>
      <c r="L72" s="214" t="s">
        <v>273</v>
      </c>
      <c r="M72" s="214" t="s">
        <v>274</v>
      </c>
      <c r="N72" s="214" t="s">
        <v>279</v>
      </c>
      <c r="O72" s="214">
        <v>6</v>
      </c>
      <c r="P72" s="214">
        <v>6</v>
      </c>
      <c r="Q72" s="214"/>
      <c r="R72" s="247"/>
      <c r="S72" s="247"/>
      <c r="T72" s="247"/>
      <c r="U72" s="247"/>
      <c r="V72" s="241">
        <v>0.13</v>
      </c>
    </row>
    <row r="73" spans="10:22" x14ac:dyDescent="0.25">
      <c r="J73" s="238">
        <v>1</v>
      </c>
      <c r="K73" s="214" t="s">
        <v>201</v>
      </c>
      <c r="L73" s="214" t="s">
        <v>273</v>
      </c>
      <c r="M73" s="214" t="s">
        <v>280</v>
      </c>
      <c r="N73" s="214" t="s">
        <v>281</v>
      </c>
      <c r="O73" s="214">
        <v>7</v>
      </c>
      <c r="P73" s="214">
        <v>7</v>
      </c>
      <c r="Q73" s="214">
        <v>4</v>
      </c>
      <c r="R73" s="247">
        <v>0.7</v>
      </c>
      <c r="S73" s="247">
        <v>1.3</v>
      </c>
      <c r="T73" s="247">
        <v>0.3</v>
      </c>
      <c r="U73" s="247">
        <v>0.5</v>
      </c>
      <c r="V73" s="241">
        <v>2.1</v>
      </c>
    </row>
    <row r="74" spans="10:22" x14ac:dyDescent="0.25">
      <c r="J74" s="238">
        <v>1</v>
      </c>
      <c r="K74" s="214" t="s">
        <v>201</v>
      </c>
      <c r="L74" s="214" t="s">
        <v>273</v>
      </c>
      <c r="M74" s="214" t="s">
        <v>280</v>
      </c>
      <c r="N74" s="214" t="s">
        <v>282</v>
      </c>
      <c r="O74" s="214">
        <v>7</v>
      </c>
      <c r="P74" s="214">
        <v>7</v>
      </c>
      <c r="Q74" s="214">
        <v>7</v>
      </c>
      <c r="R74" s="247">
        <v>0.7</v>
      </c>
      <c r="S74" s="247">
        <v>0.8</v>
      </c>
      <c r="T74" s="247">
        <v>0</v>
      </c>
      <c r="U74" s="247">
        <v>0.1</v>
      </c>
      <c r="V74" s="241">
        <v>0.9</v>
      </c>
    </row>
    <row r="75" spans="10:22" x14ac:dyDescent="0.25">
      <c r="J75" s="238">
        <v>1</v>
      </c>
      <c r="K75" s="214" t="s">
        <v>201</v>
      </c>
      <c r="L75" s="214" t="s">
        <v>273</v>
      </c>
      <c r="M75" s="214" t="s">
        <v>280</v>
      </c>
      <c r="N75" s="214" t="s">
        <v>283</v>
      </c>
      <c r="O75" s="214">
        <v>7</v>
      </c>
      <c r="P75" s="214">
        <v>7</v>
      </c>
      <c r="Q75" s="214">
        <v>7</v>
      </c>
      <c r="R75" s="247">
        <v>0.7</v>
      </c>
      <c r="S75" s="247">
        <v>0.45</v>
      </c>
      <c r="T75" s="247">
        <v>0</v>
      </c>
      <c r="U75" s="247">
        <v>0.15</v>
      </c>
      <c r="V75" s="241">
        <v>0.6</v>
      </c>
    </row>
    <row r="76" spans="10:22" x14ac:dyDescent="0.25">
      <c r="J76" s="238">
        <v>1</v>
      </c>
      <c r="K76" s="214" t="s">
        <v>201</v>
      </c>
      <c r="L76" s="214" t="s">
        <v>273</v>
      </c>
      <c r="M76" s="214" t="s">
        <v>280</v>
      </c>
      <c r="N76" s="214" t="s">
        <v>284</v>
      </c>
      <c r="O76" s="214">
        <v>4</v>
      </c>
      <c r="P76" s="214">
        <v>4</v>
      </c>
      <c r="Q76" s="214"/>
      <c r="R76" s="247"/>
      <c r="S76" s="247"/>
      <c r="T76" s="247"/>
      <c r="U76" s="247"/>
      <c r="V76" s="241">
        <v>0.62</v>
      </c>
    </row>
    <row r="77" spans="10:22" x14ac:dyDescent="0.25">
      <c r="J77" s="238">
        <v>1</v>
      </c>
      <c r="K77" s="214" t="s">
        <v>201</v>
      </c>
      <c r="L77" s="214" t="s">
        <v>273</v>
      </c>
      <c r="M77" s="214" t="s">
        <v>280</v>
      </c>
      <c r="N77" s="214" t="s">
        <v>285</v>
      </c>
      <c r="O77" s="214">
        <v>3</v>
      </c>
      <c r="P77" s="214">
        <v>3</v>
      </c>
      <c r="Q77" s="214"/>
      <c r="R77" s="247"/>
      <c r="S77" s="247"/>
      <c r="T77" s="247"/>
      <c r="U77" s="247"/>
      <c r="V77" s="241">
        <v>0.2</v>
      </c>
    </row>
    <row r="78" spans="10:22" x14ac:dyDescent="0.25">
      <c r="J78" s="238">
        <v>1</v>
      </c>
      <c r="K78" s="214" t="s">
        <v>201</v>
      </c>
      <c r="L78" s="214" t="s">
        <v>273</v>
      </c>
      <c r="M78" s="214" t="s">
        <v>280</v>
      </c>
      <c r="N78" s="214" t="s">
        <v>286</v>
      </c>
      <c r="O78" s="214">
        <v>3</v>
      </c>
      <c r="P78" s="214">
        <v>3</v>
      </c>
      <c r="Q78" s="214"/>
      <c r="R78" s="247"/>
      <c r="S78" s="247"/>
      <c r="T78" s="247"/>
      <c r="U78" s="247"/>
      <c r="V78" s="241">
        <v>0.2</v>
      </c>
    </row>
    <row r="79" spans="10:22" x14ac:dyDescent="0.25">
      <c r="J79" s="238">
        <v>1</v>
      </c>
      <c r="K79" s="214" t="s">
        <v>201</v>
      </c>
      <c r="L79" s="214" t="s">
        <v>273</v>
      </c>
      <c r="M79" s="214" t="s">
        <v>280</v>
      </c>
      <c r="N79" s="214" t="s">
        <v>287</v>
      </c>
      <c r="O79" s="214">
        <v>6</v>
      </c>
      <c r="P79" s="214">
        <v>6</v>
      </c>
      <c r="Q79" s="214"/>
      <c r="R79" s="247"/>
      <c r="S79" s="247"/>
      <c r="T79" s="247"/>
      <c r="U79" s="247"/>
      <c r="V79" s="241">
        <v>0.4</v>
      </c>
    </row>
    <row r="80" spans="10:22" x14ac:dyDescent="0.25">
      <c r="J80" s="238">
        <v>1</v>
      </c>
      <c r="K80" s="214" t="s">
        <v>201</v>
      </c>
      <c r="L80" s="214" t="s">
        <v>273</v>
      </c>
      <c r="M80" s="214" t="s">
        <v>288</v>
      </c>
      <c r="N80" s="214" t="s">
        <v>289</v>
      </c>
      <c r="O80" s="214">
        <v>28</v>
      </c>
      <c r="P80" s="214">
        <v>28</v>
      </c>
      <c r="Q80" s="214">
        <v>28</v>
      </c>
      <c r="R80" s="247">
        <v>0.7</v>
      </c>
      <c r="S80" s="247">
        <v>1.8</v>
      </c>
      <c r="T80" s="247">
        <v>1.1000000000000001</v>
      </c>
      <c r="U80" s="247">
        <v>0.2</v>
      </c>
      <c r="V80" s="241">
        <v>3.1000000000000005</v>
      </c>
    </row>
    <row r="81" spans="10:22" x14ac:dyDescent="0.25">
      <c r="J81" s="238">
        <v>1</v>
      </c>
      <c r="K81" s="214" t="s">
        <v>201</v>
      </c>
      <c r="L81" s="214" t="s">
        <v>273</v>
      </c>
      <c r="M81" s="214" t="s">
        <v>288</v>
      </c>
      <c r="N81" s="214" t="s">
        <v>290</v>
      </c>
      <c r="O81" s="214">
        <v>5</v>
      </c>
      <c r="P81" s="214">
        <v>5</v>
      </c>
      <c r="Q81" s="214">
        <v>5</v>
      </c>
      <c r="R81" s="247">
        <v>0.7</v>
      </c>
      <c r="S81" s="247">
        <v>0.1</v>
      </c>
      <c r="T81" s="247">
        <v>0</v>
      </c>
      <c r="U81" s="247">
        <v>0.15</v>
      </c>
      <c r="V81" s="241">
        <v>0.25</v>
      </c>
    </row>
    <row r="82" spans="10:22" x14ac:dyDescent="0.25">
      <c r="J82" s="238">
        <v>1</v>
      </c>
      <c r="K82" s="214" t="s">
        <v>201</v>
      </c>
      <c r="L82" s="214" t="s">
        <v>273</v>
      </c>
      <c r="M82" s="214" t="s">
        <v>288</v>
      </c>
      <c r="N82" s="214" t="s">
        <v>291</v>
      </c>
      <c r="O82" s="214">
        <v>8</v>
      </c>
      <c r="P82" s="214">
        <v>8</v>
      </c>
      <c r="Q82" s="214">
        <v>8</v>
      </c>
      <c r="R82" s="247">
        <v>0.7</v>
      </c>
      <c r="S82" s="247">
        <v>0.2</v>
      </c>
      <c r="T82" s="247">
        <v>0.2</v>
      </c>
      <c r="U82" s="247">
        <v>0.1</v>
      </c>
      <c r="V82" s="241">
        <v>0.5</v>
      </c>
    </row>
    <row r="83" spans="10:22" x14ac:dyDescent="0.25">
      <c r="J83" s="238">
        <v>1</v>
      </c>
      <c r="K83" s="214" t="s">
        <v>201</v>
      </c>
      <c r="L83" s="214" t="s">
        <v>273</v>
      </c>
      <c r="M83" s="214" t="s">
        <v>288</v>
      </c>
      <c r="N83" s="214" t="s">
        <v>292</v>
      </c>
      <c r="O83" s="214">
        <v>15</v>
      </c>
      <c r="P83" s="214">
        <v>15</v>
      </c>
      <c r="Q83" s="214">
        <v>15</v>
      </c>
      <c r="R83" s="247">
        <v>0.7</v>
      </c>
      <c r="S83" s="247">
        <v>1.7</v>
      </c>
      <c r="T83" s="247">
        <v>0.3</v>
      </c>
      <c r="U83" s="247">
        <v>0.3</v>
      </c>
      <c r="V83" s="241">
        <v>2.2999999999999998</v>
      </c>
    </row>
    <row r="84" spans="10:22" x14ac:dyDescent="0.25">
      <c r="J84" s="238">
        <v>1</v>
      </c>
      <c r="K84" s="214" t="s">
        <v>201</v>
      </c>
      <c r="L84" s="214" t="s">
        <v>273</v>
      </c>
      <c r="M84" s="214" t="s">
        <v>288</v>
      </c>
      <c r="N84" s="214" t="s">
        <v>293</v>
      </c>
      <c r="O84" s="214">
        <v>17</v>
      </c>
      <c r="P84" s="214">
        <v>17</v>
      </c>
      <c r="Q84" s="214"/>
      <c r="R84" s="247"/>
      <c r="S84" s="247"/>
      <c r="T84" s="247"/>
      <c r="U84" s="247"/>
      <c r="V84" s="241">
        <v>2.5</v>
      </c>
    </row>
    <row r="85" spans="10:22" x14ac:dyDescent="0.25">
      <c r="J85" s="238">
        <v>1</v>
      </c>
      <c r="K85" s="214" t="s">
        <v>201</v>
      </c>
      <c r="L85" s="214" t="s">
        <v>273</v>
      </c>
      <c r="M85" s="214" t="s">
        <v>294</v>
      </c>
      <c r="N85" s="214" t="s">
        <v>295</v>
      </c>
      <c r="O85" s="214">
        <v>3</v>
      </c>
      <c r="P85" s="214">
        <v>3</v>
      </c>
      <c r="Q85" s="214">
        <v>3</v>
      </c>
      <c r="R85" s="247">
        <v>0.7</v>
      </c>
      <c r="S85" s="247">
        <v>0.2</v>
      </c>
      <c r="T85" s="247">
        <v>0</v>
      </c>
      <c r="U85" s="247">
        <v>0</v>
      </c>
      <c r="V85" s="241">
        <v>0.2</v>
      </c>
    </row>
    <row r="86" spans="10:22" x14ac:dyDescent="0.25">
      <c r="J86" s="238">
        <v>1</v>
      </c>
      <c r="K86" s="214" t="s">
        <v>201</v>
      </c>
      <c r="L86" s="214" t="s">
        <v>273</v>
      </c>
      <c r="M86" s="214" t="s">
        <v>294</v>
      </c>
      <c r="N86" s="214" t="s">
        <v>296</v>
      </c>
      <c r="O86" s="214">
        <v>6</v>
      </c>
      <c r="P86" s="214">
        <v>6</v>
      </c>
      <c r="Q86" s="214">
        <v>12</v>
      </c>
      <c r="R86" s="247">
        <v>0.7</v>
      </c>
      <c r="S86" s="247">
        <v>0.4</v>
      </c>
      <c r="T86" s="247">
        <v>0</v>
      </c>
      <c r="U86" s="247">
        <v>0.1</v>
      </c>
      <c r="V86" s="241">
        <v>0.5</v>
      </c>
    </row>
    <row r="87" spans="10:22" x14ac:dyDescent="0.25">
      <c r="J87" s="238">
        <v>1</v>
      </c>
      <c r="K87" s="214" t="s">
        <v>201</v>
      </c>
      <c r="L87" s="214" t="s">
        <v>273</v>
      </c>
      <c r="M87" s="214" t="s">
        <v>294</v>
      </c>
      <c r="N87" s="214" t="s">
        <v>297</v>
      </c>
      <c r="O87" s="214">
        <v>5</v>
      </c>
      <c r="P87" s="214">
        <v>5</v>
      </c>
      <c r="Q87" s="214">
        <v>9</v>
      </c>
      <c r="R87" s="247">
        <v>0.7</v>
      </c>
      <c r="S87" s="247">
        <v>0.2</v>
      </c>
      <c r="T87" s="247">
        <v>0.15</v>
      </c>
      <c r="U87" s="247">
        <v>0.15</v>
      </c>
      <c r="V87" s="241">
        <v>0.5</v>
      </c>
    </row>
    <row r="88" spans="10:22" x14ac:dyDescent="0.25">
      <c r="J88" s="238">
        <v>1</v>
      </c>
      <c r="K88" s="214" t="s">
        <v>201</v>
      </c>
      <c r="L88" s="214" t="s">
        <v>216</v>
      </c>
      <c r="M88" s="214" t="s">
        <v>217</v>
      </c>
      <c r="N88" s="214" t="s">
        <v>298</v>
      </c>
      <c r="O88" s="214">
        <v>4</v>
      </c>
      <c r="P88" s="214">
        <v>4</v>
      </c>
      <c r="Q88" s="214">
        <v>4</v>
      </c>
      <c r="R88" s="247">
        <v>0.05</v>
      </c>
      <c r="S88" s="247">
        <v>0.06</v>
      </c>
      <c r="T88" s="247">
        <v>0</v>
      </c>
      <c r="U88" s="247">
        <v>0.30499999999999999</v>
      </c>
      <c r="V88" s="241">
        <v>0.36499999999999999</v>
      </c>
    </row>
    <row r="89" spans="10:22" x14ac:dyDescent="0.25">
      <c r="J89" s="238">
        <v>1</v>
      </c>
      <c r="K89" s="214" t="s">
        <v>201</v>
      </c>
      <c r="L89" s="214" t="s">
        <v>216</v>
      </c>
      <c r="M89" s="214" t="s">
        <v>217</v>
      </c>
      <c r="N89" s="214" t="s">
        <v>299</v>
      </c>
      <c r="O89" s="214">
        <v>14</v>
      </c>
      <c r="P89" s="214">
        <v>14</v>
      </c>
      <c r="Q89" s="214">
        <v>14</v>
      </c>
      <c r="R89" s="247">
        <v>0.7</v>
      </c>
      <c r="S89" s="247">
        <v>0.8</v>
      </c>
      <c r="T89" s="247">
        <v>0.4</v>
      </c>
      <c r="U89" s="247">
        <v>0.25</v>
      </c>
      <c r="V89" s="241">
        <v>1.4500000000000002</v>
      </c>
    </row>
    <row r="90" spans="10:22" x14ac:dyDescent="0.25">
      <c r="J90" s="238">
        <v>1</v>
      </c>
      <c r="K90" s="214" t="s">
        <v>201</v>
      </c>
      <c r="L90" s="214" t="s">
        <v>216</v>
      </c>
      <c r="M90" s="214" t="s">
        <v>217</v>
      </c>
      <c r="N90" s="214" t="s">
        <v>300</v>
      </c>
      <c r="O90" s="214">
        <v>6</v>
      </c>
      <c r="P90" s="214">
        <v>6</v>
      </c>
      <c r="Q90" s="214">
        <v>6</v>
      </c>
      <c r="R90" s="247">
        <v>0.7</v>
      </c>
      <c r="S90" s="247">
        <v>0.8</v>
      </c>
      <c r="T90" s="247">
        <v>0</v>
      </c>
      <c r="U90" s="247">
        <v>0.21</v>
      </c>
      <c r="V90" s="241">
        <v>1.01</v>
      </c>
    </row>
    <row r="91" spans="10:22" x14ac:dyDescent="0.25">
      <c r="J91" s="238">
        <v>1</v>
      </c>
      <c r="K91" s="214" t="s">
        <v>201</v>
      </c>
      <c r="L91" s="214" t="s">
        <v>216</v>
      </c>
      <c r="M91" s="214" t="s">
        <v>217</v>
      </c>
      <c r="N91" s="214" t="s">
        <v>218</v>
      </c>
      <c r="O91" s="214">
        <v>14</v>
      </c>
      <c r="P91" s="214">
        <v>14</v>
      </c>
      <c r="Q91" s="214">
        <v>14</v>
      </c>
      <c r="R91" s="247">
        <v>0.79700000000000004</v>
      </c>
      <c r="S91" s="247">
        <v>0.49399999999999999</v>
      </c>
      <c r="T91" s="247">
        <v>0.315</v>
      </c>
      <c r="U91" s="247">
        <v>0.57799999999999996</v>
      </c>
      <c r="V91" s="241">
        <v>1.387</v>
      </c>
    </row>
    <row r="92" spans="10:22" x14ac:dyDescent="0.25">
      <c r="J92" s="238">
        <v>1</v>
      </c>
      <c r="K92" s="214" t="s">
        <v>201</v>
      </c>
      <c r="L92" s="214" t="s">
        <v>301</v>
      </c>
      <c r="M92" s="214" t="s">
        <v>302</v>
      </c>
      <c r="N92" s="214" t="s">
        <v>283</v>
      </c>
      <c r="O92" s="214">
        <v>4</v>
      </c>
      <c r="P92" s="214">
        <v>4</v>
      </c>
      <c r="Q92" s="214"/>
      <c r="R92" s="247"/>
      <c r="S92" s="247"/>
      <c r="T92" s="247"/>
      <c r="U92" s="247"/>
      <c r="V92" s="241">
        <v>0.35</v>
      </c>
    </row>
    <row r="93" spans="10:22" x14ac:dyDescent="0.25">
      <c r="J93" s="238">
        <v>1</v>
      </c>
      <c r="K93" s="214" t="s">
        <v>201</v>
      </c>
      <c r="L93" s="214" t="s">
        <v>301</v>
      </c>
      <c r="M93" s="214" t="s">
        <v>302</v>
      </c>
      <c r="N93" s="214" t="s">
        <v>303</v>
      </c>
      <c r="O93" s="214">
        <v>5</v>
      </c>
      <c r="P93" s="214">
        <v>5</v>
      </c>
      <c r="Q93" s="214"/>
      <c r="R93" s="247"/>
      <c r="S93" s="247"/>
      <c r="T93" s="247"/>
      <c r="U93" s="247"/>
      <c r="V93" s="241">
        <v>0.2</v>
      </c>
    </row>
    <row r="94" spans="10:22" x14ac:dyDescent="0.25">
      <c r="J94" s="238">
        <v>1</v>
      </c>
      <c r="K94" s="214" t="s">
        <v>201</v>
      </c>
      <c r="L94" s="214" t="s">
        <v>301</v>
      </c>
      <c r="M94" s="214" t="s">
        <v>304</v>
      </c>
      <c r="N94" s="214" t="s">
        <v>305</v>
      </c>
      <c r="O94" s="214">
        <v>9</v>
      </c>
      <c r="P94" s="214">
        <v>9</v>
      </c>
      <c r="Q94" s="214"/>
      <c r="R94" s="247"/>
      <c r="S94" s="247"/>
      <c r="T94" s="247"/>
      <c r="U94" s="247"/>
      <c r="V94" s="241">
        <v>0.35</v>
      </c>
    </row>
    <row r="95" spans="10:22" x14ac:dyDescent="0.25">
      <c r="J95" s="238">
        <v>1</v>
      </c>
      <c r="K95" s="214" t="s">
        <v>201</v>
      </c>
      <c r="L95" s="214" t="s">
        <v>301</v>
      </c>
      <c r="M95" s="214" t="s">
        <v>306</v>
      </c>
      <c r="N95" s="214" t="s">
        <v>307</v>
      </c>
      <c r="O95" s="214">
        <v>5</v>
      </c>
      <c r="P95" s="214">
        <v>5</v>
      </c>
      <c r="Q95" s="214"/>
      <c r="R95" s="247"/>
      <c r="S95" s="247"/>
      <c r="T95" s="247"/>
      <c r="U95" s="247"/>
      <c r="V95" s="241">
        <v>1.1499999999999999</v>
      </c>
    </row>
    <row r="96" spans="10:22" x14ac:dyDescent="0.25">
      <c r="J96" s="238">
        <v>1</v>
      </c>
      <c r="K96" s="214" t="s">
        <v>201</v>
      </c>
      <c r="L96" s="214" t="s">
        <v>301</v>
      </c>
      <c r="M96" s="214" t="s">
        <v>308</v>
      </c>
      <c r="N96" s="214" t="s">
        <v>309</v>
      </c>
      <c r="O96" s="214">
        <v>39</v>
      </c>
      <c r="P96" s="214">
        <v>39</v>
      </c>
      <c r="Q96" s="214"/>
      <c r="R96" s="247"/>
      <c r="S96" s="247"/>
      <c r="T96" s="247"/>
      <c r="U96" s="247"/>
      <c r="V96" s="241">
        <v>7.8</v>
      </c>
    </row>
    <row r="97" spans="10:22" x14ac:dyDescent="0.25">
      <c r="J97" s="238">
        <v>1</v>
      </c>
      <c r="K97" s="214" t="s">
        <v>201</v>
      </c>
      <c r="L97" s="214" t="s">
        <v>310</v>
      </c>
      <c r="M97" s="214" t="s">
        <v>311</v>
      </c>
      <c r="N97" s="214" t="s">
        <v>312</v>
      </c>
      <c r="O97" s="214">
        <v>34</v>
      </c>
      <c r="P97" s="214">
        <v>34</v>
      </c>
      <c r="Q97" s="214">
        <v>34</v>
      </c>
      <c r="R97" s="247">
        <v>0.7</v>
      </c>
      <c r="S97" s="247">
        <v>6.2</v>
      </c>
      <c r="T97" s="247">
        <v>1</v>
      </c>
      <c r="U97" s="247">
        <v>0</v>
      </c>
      <c r="V97" s="241">
        <v>7.2</v>
      </c>
    </row>
    <row r="98" spans="10:22" x14ac:dyDescent="0.25">
      <c r="J98" s="238">
        <v>1</v>
      </c>
      <c r="K98" s="214" t="s">
        <v>201</v>
      </c>
      <c r="L98" s="214" t="s">
        <v>310</v>
      </c>
      <c r="M98" s="214" t="s">
        <v>313</v>
      </c>
      <c r="N98" s="214" t="s">
        <v>314</v>
      </c>
      <c r="O98" s="214">
        <v>4</v>
      </c>
      <c r="P98" s="214">
        <v>4</v>
      </c>
      <c r="Q98" s="214"/>
      <c r="R98" s="247"/>
      <c r="S98" s="247"/>
      <c r="T98" s="247"/>
      <c r="U98" s="247"/>
      <c r="V98" s="241">
        <v>0.5</v>
      </c>
    </row>
    <row r="99" spans="10:22" x14ac:dyDescent="0.25">
      <c r="J99" s="238">
        <v>1</v>
      </c>
      <c r="K99" s="214" t="s">
        <v>201</v>
      </c>
      <c r="L99" s="214" t="s">
        <v>310</v>
      </c>
      <c r="M99" s="214" t="s">
        <v>313</v>
      </c>
      <c r="N99" s="214" t="s">
        <v>315</v>
      </c>
      <c r="O99" s="214">
        <v>5</v>
      </c>
      <c r="P99" s="214">
        <v>5</v>
      </c>
      <c r="Q99" s="214"/>
      <c r="R99" s="247"/>
      <c r="S99" s="247"/>
      <c r="T99" s="247"/>
      <c r="U99" s="247"/>
      <c r="V99" s="241">
        <v>0.6</v>
      </c>
    </row>
    <row r="100" spans="10:22" x14ac:dyDescent="0.25">
      <c r="J100" s="238">
        <v>1</v>
      </c>
      <c r="K100" s="214" t="s">
        <v>201</v>
      </c>
      <c r="L100" s="214" t="s">
        <v>310</v>
      </c>
      <c r="M100" s="214" t="s">
        <v>313</v>
      </c>
      <c r="N100" s="214" t="s">
        <v>316</v>
      </c>
      <c r="O100" s="214">
        <v>17</v>
      </c>
      <c r="P100" s="214">
        <v>17</v>
      </c>
      <c r="Q100" s="214"/>
      <c r="R100" s="247"/>
      <c r="S100" s="247"/>
      <c r="T100" s="247"/>
      <c r="U100" s="247"/>
      <c r="V100" s="241">
        <v>1.75</v>
      </c>
    </row>
    <row r="101" spans="10:22" x14ac:dyDescent="0.25">
      <c r="J101" s="240">
        <v>1</v>
      </c>
      <c r="K101" s="214" t="s">
        <v>201</v>
      </c>
      <c r="L101" s="214" t="s">
        <v>202</v>
      </c>
      <c r="M101" s="214" t="s">
        <v>317</v>
      </c>
      <c r="N101" s="214" t="s">
        <v>318</v>
      </c>
      <c r="O101" s="214">
        <v>9</v>
      </c>
      <c r="P101" s="214">
        <v>9</v>
      </c>
      <c r="Q101" s="214">
        <v>9</v>
      </c>
      <c r="R101" s="247">
        <v>0.16800000000000001</v>
      </c>
      <c r="S101" s="247">
        <v>0.34799999999999998</v>
      </c>
      <c r="T101" s="247">
        <v>0.18</v>
      </c>
      <c r="U101" s="247">
        <v>0.14899999999999999</v>
      </c>
      <c r="V101" s="241">
        <v>0.67700000000000005</v>
      </c>
    </row>
    <row r="102" spans="10:22" x14ac:dyDescent="0.25">
      <c r="J102" s="240">
        <v>1</v>
      </c>
      <c r="K102" s="214" t="s">
        <v>201</v>
      </c>
      <c r="L102" s="214" t="s">
        <v>202</v>
      </c>
      <c r="M102" s="214" t="s">
        <v>317</v>
      </c>
      <c r="N102" s="214" t="s">
        <v>319</v>
      </c>
      <c r="O102" s="214">
        <v>8</v>
      </c>
      <c r="P102" s="214">
        <v>8</v>
      </c>
      <c r="Q102" s="214">
        <v>8</v>
      </c>
      <c r="R102" s="247">
        <v>0.68500000000000005</v>
      </c>
      <c r="S102" s="247">
        <v>0.251</v>
      </c>
      <c r="T102" s="247">
        <v>0.05</v>
      </c>
      <c r="U102" s="247">
        <v>0.35</v>
      </c>
      <c r="V102" s="241">
        <v>0.65100000000000002</v>
      </c>
    </row>
    <row r="103" spans="10:22" x14ac:dyDescent="0.25">
      <c r="J103" s="240">
        <v>1</v>
      </c>
      <c r="K103" s="214" t="s">
        <v>201</v>
      </c>
      <c r="L103" s="214" t="s">
        <v>202</v>
      </c>
      <c r="M103" s="214" t="s">
        <v>317</v>
      </c>
      <c r="N103" s="214" t="s">
        <v>320</v>
      </c>
      <c r="O103" s="214">
        <v>8</v>
      </c>
      <c r="P103" s="214">
        <v>8</v>
      </c>
      <c r="Q103" s="214">
        <v>8</v>
      </c>
      <c r="R103" s="247">
        <v>0.23599999999999999</v>
      </c>
      <c r="S103" s="247">
        <v>0</v>
      </c>
      <c r="T103" s="247">
        <v>0</v>
      </c>
      <c r="U103" s="247">
        <v>0.38500000000000001</v>
      </c>
      <c r="V103" s="241">
        <v>0.38500000000000001</v>
      </c>
    </row>
    <row r="104" spans="10:22" x14ac:dyDescent="0.25">
      <c r="J104" s="240">
        <v>1</v>
      </c>
      <c r="K104" s="214" t="s">
        <v>201</v>
      </c>
      <c r="L104" s="214" t="s">
        <v>202</v>
      </c>
      <c r="M104" s="214" t="s">
        <v>317</v>
      </c>
      <c r="N104" s="214" t="s">
        <v>314</v>
      </c>
      <c r="O104" s="214">
        <v>13</v>
      </c>
      <c r="P104" s="214">
        <v>13</v>
      </c>
      <c r="Q104" s="214">
        <v>13</v>
      </c>
      <c r="R104" s="247">
        <v>0.7</v>
      </c>
      <c r="S104" s="247">
        <v>0.65</v>
      </c>
      <c r="T104" s="247">
        <v>0.25</v>
      </c>
      <c r="U104" s="247">
        <v>0.32</v>
      </c>
      <c r="V104" s="241">
        <v>1.22</v>
      </c>
    </row>
    <row r="105" spans="10:22" x14ac:dyDescent="0.25">
      <c r="J105" s="240">
        <v>1</v>
      </c>
      <c r="K105" s="214" t="s">
        <v>201</v>
      </c>
      <c r="L105" s="214" t="s">
        <v>202</v>
      </c>
      <c r="M105" s="214" t="s">
        <v>321</v>
      </c>
      <c r="N105" s="214" t="s">
        <v>261</v>
      </c>
      <c r="O105" s="214">
        <v>8</v>
      </c>
      <c r="P105" s="214">
        <v>8</v>
      </c>
      <c r="Q105" s="214"/>
      <c r="R105" s="247"/>
      <c r="S105" s="247"/>
      <c r="T105" s="247"/>
      <c r="U105" s="247"/>
      <c r="V105" s="241">
        <v>0.89</v>
      </c>
    </row>
    <row r="106" spans="10:22" x14ac:dyDescent="0.25">
      <c r="J106" s="238">
        <v>1</v>
      </c>
      <c r="K106" s="214" t="s">
        <v>201</v>
      </c>
      <c r="L106" s="214" t="s">
        <v>202</v>
      </c>
      <c r="M106" s="214" t="s">
        <v>321</v>
      </c>
      <c r="N106" s="214" t="s">
        <v>322</v>
      </c>
      <c r="O106" s="214">
        <v>15</v>
      </c>
      <c r="P106" s="214">
        <v>15</v>
      </c>
      <c r="Q106" s="214"/>
      <c r="R106" s="247"/>
      <c r="S106" s="247"/>
      <c r="T106" s="247"/>
      <c r="U106" s="247"/>
      <c r="V106" s="241">
        <v>1.8</v>
      </c>
    </row>
    <row r="107" spans="10:22" x14ac:dyDescent="0.25">
      <c r="J107" s="238">
        <v>1</v>
      </c>
      <c r="K107" s="214" t="s">
        <v>201</v>
      </c>
      <c r="L107" s="214" t="s">
        <v>202</v>
      </c>
      <c r="M107" s="214" t="s">
        <v>203</v>
      </c>
      <c r="N107" s="214" t="s">
        <v>323</v>
      </c>
      <c r="O107" s="214">
        <v>10</v>
      </c>
      <c r="P107" s="214">
        <v>10</v>
      </c>
      <c r="Q107" s="214">
        <v>0</v>
      </c>
      <c r="R107" s="247">
        <v>0.7</v>
      </c>
      <c r="S107" s="247">
        <v>0</v>
      </c>
      <c r="T107" s="247">
        <v>0</v>
      </c>
      <c r="U107" s="247">
        <v>0</v>
      </c>
      <c r="V107" s="241">
        <v>0.67</v>
      </c>
    </row>
    <row r="108" spans="10:22" x14ac:dyDescent="0.25">
      <c r="J108" s="238">
        <v>1</v>
      </c>
      <c r="K108" s="214" t="s">
        <v>201</v>
      </c>
      <c r="L108" s="214" t="s">
        <v>202</v>
      </c>
      <c r="M108" s="214" t="s">
        <v>324</v>
      </c>
      <c r="N108" s="214" t="s">
        <v>325</v>
      </c>
      <c r="O108" s="214">
        <v>21</v>
      </c>
      <c r="P108" s="214">
        <v>21</v>
      </c>
      <c r="Q108" s="214"/>
      <c r="R108" s="247"/>
      <c r="S108" s="247"/>
      <c r="T108" s="247"/>
      <c r="U108" s="247"/>
      <c r="V108" s="241">
        <v>2.4900000000000002</v>
      </c>
    </row>
    <row r="109" spans="10:22" x14ac:dyDescent="0.25">
      <c r="J109" s="238">
        <v>1</v>
      </c>
      <c r="K109" s="214" t="s">
        <v>201</v>
      </c>
      <c r="L109" s="214" t="s">
        <v>202</v>
      </c>
      <c r="M109" s="214" t="s">
        <v>326</v>
      </c>
      <c r="N109" s="214" t="s">
        <v>327</v>
      </c>
      <c r="O109" s="214">
        <v>6</v>
      </c>
      <c r="P109" s="214">
        <v>6</v>
      </c>
      <c r="Q109" s="214"/>
      <c r="R109" s="247"/>
      <c r="S109" s="247"/>
      <c r="T109" s="247"/>
      <c r="U109" s="247"/>
      <c r="V109" s="241">
        <v>0.8</v>
      </c>
    </row>
    <row r="110" spans="10:22" x14ac:dyDescent="0.25">
      <c r="J110" s="238">
        <v>1</v>
      </c>
      <c r="K110" s="214" t="s">
        <v>201</v>
      </c>
      <c r="L110" s="214" t="s">
        <v>202</v>
      </c>
      <c r="M110" s="214" t="s">
        <v>203</v>
      </c>
      <c r="N110" s="214" t="s">
        <v>203</v>
      </c>
      <c r="O110" s="214">
        <v>11</v>
      </c>
      <c r="P110" s="214">
        <v>11</v>
      </c>
      <c r="Q110" s="214">
        <v>11</v>
      </c>
      <c r="R110" s="247">
        <v>0.7</v>
      </c>
      <c r="S110" s="247">
        <v>0.32</v>
      </c>
      <c r="T110" s="247">
        <v>0.22</v>
      </c>
      <c r="U110" s="247">
        <v>0.22</v>
      </c>
      <c r="V110" s="241">
        <v>0.76</v>
      </c>
    </row>
    <row r="111" spans="10:22" x14ac:dyDescent="0.25">
      <c r="J111" s="238">
        <v>1</v>
      </c>
      <c r="K111" s="214" t="s">
        <v>201</v>
      </c>
      <c r="L111" s="214" t="s">
        <v>202</v>
      </c>
      <c r="M111" s="214" t="s">
        <v>203</v>
      </c>
      <c r="N111" s="214" t="s">
        <v>328</v>
      </c>
      <c r="O111" s="214">
        <v>11</v>
      </c>
      <c r="P111" s="214">
        <v>11</v>
      </c>
      <c r="Q111" s="214">
        <v>11</v>
      </c>
      <c r="R111" s="247">
        <v>0.7</v>
      </c>
      <c r="S111" s="247">
        <v>0.87</v>
      </c>
      <c r="T111" s="247">
        <v>0.56999999999999995</v>
      </c>
      <c r="U111" s="247">
        <v>0.32</v>
      </c>
      <c r="V111" s="241">
        <v>1.76</v>
      </c>
    </row>
    <row r="112" spans="10:22" x14ac:dyDescent="0.25">
      <c r="J112" s="238">
        <v>1</v>
      </c>
      <c r="K112" s="214" t="s">
        <v>201</v>
      </c>
      <c r="L112" s="214" t="s">
        <v>202</v>
      </c>
      <c r="M112" s="214" t="s">
        <v>226</v>
      </c>
      <c r="N112" s="214" t="s">
        <v>227</v>
      </c>
      <c r="O112" s="214">
        <v>43</v>
      </c>
      <c r="P112" s="214">
        <v>43</v>
      </c>
      <c r="Q112" s="214">
        <v>12</v>
      </c>
      <c r="R112" s="247">
        <v>0.7</v>
      </c>
      <c r="S112" s="247">
        <v>2</v>
      </c>
      <c r="T112" s="247">
        <v>0.42</v>
      </c>
      <c r="U112" s="247">
        <v>0.11</v>
      </c>
      <c r="V112" s="241">
        <v>3.9</v>
      </c>
    </row>
    <row r="113" spans="10:22" x14ac:dyDescent="0.25">
      <c r="J113" s="238">
        <v>1</v>
      </c>
      <c r="K113" s="214" t="s">
        <v>201</v>
      </c>
      <c r="L113" s="214" t="s">
        <v>202</v>
      </c>
      <c r="M113" s="214" t="s">
        <v>329</v>
      </c>
      <c r="N113" s="214" t="s">
        <v>330</v>
      </c>
      <c r="O113" s="214">
        <v>42</v>
      </c>
      <c r="P113" s="214">
        <v>42</v>
      </c>
      <c r="Q113" s="214">
        <v>0</v>
      </c>
      <c r="R113" s="247">
        <v>0.7</v>
      </c>
      <c r="S113" s="247">
        <v>0</v>
      </c>
      <c r="T113" s="247">
        <v>0</v>
      </c>
      <c r="U113" s="247">
        <v>0</v>
      </c>
      <c r="V113" s="241">
        <v>0</v>
      </c>
    </row>
    <row r="114" spans="10:22" x14ac:dyDescent="0.25">
      <c r="J114" s="238">
        <v>1</v>
      </c>
      <c r="K114" s="214" t="s">
        <v>201</v>
      </c>
      <c r="L114" s="214" t="s">
        <v>202</v>
      </c>
      <c r="M114" s="214" t="s">
        <v>329</v>
      </c>
      <c r="N114" s="214" t="s">
        <v>331</v>
      </c>
      <c r="O114" s="214">
        <v>61</v>
      </c>
      <c r="P114" s="214">
        <v>61</v>
      </c>
      <c r="Q114" s="214"/>
      <c r="R114" s="247"/>
      <c r="S114" s="247"/>
      <c r="T114" s="247"/>
      <c r="U114" s="247"/>
      <c r="V114" s="241">
        <v>0.5</v>
      </c>
    </row>
    <row r="115" spans="10:22" x14ac:dyDescent="0.25">
      <c r="J115" s="238">
        <v>1</v>
      </c>
      <c r="K115" s="214" t="s">
        <v>201</v>
      </c>
      <c r="L115" s="214" t="s">
        <v>202</v>
      </c>
      <c r="M115" s="214" t="s">
        <v>316</v>
      </c>
      <c r="N115" s="214" t="s">
        <v>332</v>
      </c>
      <c r="O115" s="214">
        <v>12</v>
      </c>
      <c r="P115" s="214">
        <v>12</v>
      </c>
      <c r="Q115" s="214">
        <v>12</v>
      </c>
      <c r="R115" s="247">
        <v>0.7</v>
      </c>
      <c r="S115" s="247">
        <v>0.35</v>
      </c>
      <c r="T115" s="247">
        <v>0.92</v>
      </c>
      <c r="U115" s="247">
        <v>0</v>
      </c>
      <c r="V115" s="241">
        <v>1.27</v>
      </c>
    </row>
    <row r="116" spans="10:22" x14ac:dyDescent="0.25">
      <c r="J116" s="238">
        <v>1</v>
      </c>
      <c r="K116" s="214" t="s">
        <v>201</v>
      </c>
      <c r="L116" s="214" t="s">
        <v>202</v>
      </c>
      <c r="M116" s="214" t="s">
        <v>316</v>
      </c>
      <c r="N116" s="214" t="s">
        <v>333</v>
      </c>
      <c r="O116" s="214">
        <v>18</v>
      </c>
      <c r="P116" s="214">
        <v>18</v>
      </c>
      <c r="Q116" s="214">
        <v>18</v>
      </c>
      <c r="R116" s="247">
        <v>0.7</v>
      </c>
      <c r="S116" s="247">
        <v>2.9</v>
      </c>
      <c r="T116" s="247">
        <v>0.9</v>
      </c>
      <c r="U116" s="247">
        <v>0.16</v>
      </c>
      <c r="V116" s="241">
        <v>3.96</v>
      </c>
    </row>
    <row r="117" spans="10:22" x14ac:dyDescent="0.25">
      <c r="J117" s="238">
        <v>1</v>
      </c>
      <c r="K117" s="214" t="s">
        <v>201</v>
      </c>
      <c r="L117" s="214" t="s">
        <v>202</v>
      </c>
      <c r="M117" s="214" t="s">
        <v>334</v>
      </c>
      <c r="N117" s="214" t="s">
        <v>222</v>
      </c>
      <c r="O117" s="214">
        <v>11</v>
      </c>
      <c r="P117" s="214">
        <v>11</v>
      </c>
      <c r="Q117" s="214">
        <v>11</v>
      </c>
      <c r="R117" s="247">
        <v>0.7</v>
      </c>
      <c r="S117" s="247">
        <v>0.3</v>
      </c>
      <c r="T117" s="247">
        <v>0</v>
      </c>
      <c r="U117" s="247">
        <v>1.01</v>
      </c>
      <c r="V117" s="241">
        <v>1.31</v>
      </c>
    </row>
    <row r="118" spans="10:22" x14ac:dyDescent="0.25">
      <c r="J118" s="238">
        <v>1</v>
      </c>
      <c r="K118" s="214" t="s">
        <v>201</v>
      </c>
      <c r="L118" s="214" t="s">
        <v>202</v>
      </c>
      <c r="M118" s="214" t="s">
        <v>335</v>
      </c>
      <c r="N118" s="214" t="s">
        <v>336</v>
      </c>
      <c r="O118" s="214">
        <v>5</v>
      </c>
      <c r="P118" s="214">
        <v>5</v>
      </c>
      <c r="Q118" s="214">
        <v>5</v>
      </c>
      <c r="R118" s="247">
        <v>0.35</v>
      </c>
      <c r="S118" s="247">
        <v>0.18</v>
      </c>
      <c r="T118" s="247">
        <v>0</v>
      </c>
      <c r="U118" s="247">
        <v>0.314</v>
      </c>
      <c r="V118" s="241">
        <v>0.49399999999999999</v>
      </c>
    </row>
    <row r="119" spans="10:22" x14ac:dyDescent="0.25">
      <c r="J119" s="238">
        <v>1</v>
      </c>
      <c r="K119" s="214" t="s">
        <v>201</v>
      </c>
      <c r="L119" s="214" t="s">
        <v>202</v>
      </c>
      <c r="M119" s="214" t="s">
        <v>335</v>
      </c>
      <c r="N119" s="214" t="s">
        <v>337</v>
      </c>
      <c r="O119" s="214">
        <v>10</v>
      </c>
      <c r="P119" s="214">
        <v>10</v>
      </c>
      <c r="Q119" s="214">
        <v>0</v>
      </c>
      <c r="R119" s="247">
        <v>0</v>
      </c>
      <c r="S119" s="247">
        <v>0</v>
      </c>
      <c r="T119" s="247">
        <v>0</v>
      </c>
      <c r="U119" s="247">
        <v>0</v>
      </c>
      <c r="V119" s="241">
        <v>1.35</v>
      </c>
    </row>
    <row r="120" spans="10:22" x14ac:dyDescent="0.25">
      <c r="J120" s="238">
        <v>1</v>
      </c>
      <c r="K120" s="214" t="s">
        <v>201</v>
      </c>
      <c r="L120" s="214" t="s">
        <v>202</v>
      </c>
      <c r="M120" s="214" t="s">
        <v>335</v>
      </c>
      <c r="N120" s="214" t="s">
        <v>338</v>
      </c>
      <c r="O120" s="214">
        <v>4</v>
      </c>
      <c r="P120" s="214">
        <v>4</v>
      </c>
      <c r="Q120" s="214"/>
      <c r="R120" s="247"/>
      <c r="S120" s="247"/>
      <c r="T120" s="247"/>
      <c r="U120" s="247"/>
      <c r="V120" s="241">
        <v>0.3</v>
      </c>
    </row>
    <row r="121" spans="10:22" x14ac:dyDescent="0.25">
      <c r="J121" s="238">
        <v>1</v>
      </c>
      <c r="K121" s="214" t="s">
        <v>201</v>
      </c>
      <c r="L121" s="214" t="s">
        <v>202</v>
      </c>
      <c r="M121" s="214" t="s">
        <v>335</v>
      </c>
      <c r="N121" s="214" t="s">
        <v>339</v>
      </c>
      <c r="O121" s="214">
        <v>14</v>
      </c>
      <c r="P121" s="214">
        <v>14</v>
      </c>
      <c r="Q121" s="214"/>
      <c r="R121" s="247"/>
      <c r="S121" s="247"/>
      <c r="T121" s="247"/>
      <c r="U121" s="247"/>
      <c r="V121" s="241">
        <v>4.6399999999999997</v>
      </c>
    </row>
    <row r="122" spans="10:22" x14ac:dyDescent="0.25">
      <c r="J122" s="238">
        <v>1</v>
      </c>
      <c r="K122" s="214" t="s">
        <v>201</v>
      </c>
      <c r="L122" s="214" t="s">
        <v>202</v>
      </c>
      <c r="M122" s="214" t="s">
        <v>335</v>
      </c>
      <c r="N122" s="214" t="s">
        <v>340</v>
      </c>
      <c r="O122" s="214">
        <v>11</v>
      </c>
      <c r="P122" s="214">
        <v>11</v>
      </c>
      <c r="Q122" s="214"/>
      <c r="R122" s="247"/>
      <c r="S122" s="247"/>
      <c r="T122" s="247"/>
      <c r="U122" s="247"/>
      <c r="V122" s="241">
        <v>1.8</v>
      </c>
    </row>
    <row r="123" spans="10:22" x14ac:dyDescent="0.25">
      <c r="J123" s="238">
        <v>1</v>
      </c>
      <c r="K123" s="214" t="s">
        <v>201</v>
      </c>
      <c r="L123" s="214" t="s">
        <v>202</v>
      </c>
      <c r="M123" s="214" t="s">
        <v>335</v>
      </c>
      <c r="N123" s="214" t="s">
        <v>341</v>
      </c>
      <c r="O123" s="214">
        <v>8</v>
      </c>
      <c r="P123" s="214">
        <v>8</v>
      </c>
      <c r="Q123" s="214"/>
      <c r="R123" s="247"/>
      <c r="S123" s="247"/>
      <c r="T123" s="247"/>
      <c r="U123" s="247"/>
      <c r="V123" s="241">
        <v>1.4</v>
      </c>
    </row>
    <row r="124" spans="10:22" x14ac:dyDescent="0.25">
      <c r="J124" s="238">
        <v>1</v>
      </c>
      <c r="K124" s="214" t="s">
        <v>201</v>
      </c>
      <c r="L124" s="214" t="s">
        <v>202</v>
      </c>
      <c r="M124" s="214" t="s">
        <v>342</v>
      </c>
      <c r="N124" s="214" t="s">
        <v>343</v>
      </c>
      <c r="O124" s="214">
        <v>7</v>
      </c>
      <c r="P124" s="214">
        <v>7</v>
      </c>
      <c r="Q124" s="214"/>
      <c r="R124" s="247"/>
      <c r="S124" s="247"/>
      <c r="T124" s="247"/>
      <c r="U124" s="247"/>
      <c r="V124" s="241">
        <v>0.9</v>
      </c>
    </row>
    <row r="125" spans="10:22" x14ac:dyDescent="0.25">
      <c r="J125" s="238">
        <v>1</v>
      </c>
      <c r="K125" s="214" t="s">
        <v>201</v>
      </c>
      <c r="L125" s="214" t="s">
        <v>202</v>
      </c>
      <c r="M125" s="214" t="s">
        <v>344</v>
      </c>
      <c r="N125" s="214" t="s">
        <v>345</v>
      </c>
      <c r="O125" s="214">
        <v>14</v>
      </c>
      <c r="P125" s="214">
        <v>14</v>
      </c>
      <c r="Q125" s="214">
        <v>14</v>
      </c>
      <c r="R125" s="247">
        <v>0.7</v>
      </c>
      <c r="S125" s="247">
        <v>0.95</v>
      </c>
      <c r="T125" s="247">
        <v>0.4</v>
      </c>
      <c r="U125" s="247">
        <v>0.35</v>
      </c>
      <c r="V125" s="241">
        <v>1.7000000000000002</v>
      </c>
    </row>
    <row r="126" spans="10:22" x14ac:dyDescent="0.25">
      <c r="J126" s="238">
        <v>1</v>
      </c>
      <c r="K126" s="214" t="s">
        <v>201</v>
      </c>
      <c r="L126" s="214" t="s">
        <v>202</v>
      </c>
      <c r="M126" s="214" t="s">
        <v>346</v>
      </c>
      <c r="N126" s="214" t="s">
        <v>347</v>
      </c>
      <c r="O126" s="214">
        <v>10</v>
      </c>
      <c r="P126" s="214">
        <v>10</v>
      </c>
      <c r="Q126" s="214">
        <v>10</v>
      </c>
      <c r="R126" s="247">
        <v>0.47099999999999997</v>
      </c>
      <c r="S126" s="247">
        <v>0.39600000000000002</v>
      </c>
      <c r="T126" s="247">
        <v>0.50900000000000001</v>
      </c>
      <c r="U126" s="247">
        <v>0.35199999999999998</v>
      </c>
      <c r="V126" s="241">
        <v>1.2570000000000001</v>
      </c>
    </row>
    <row r="127" spans="10:22" x14ac:dyDescent="0.25">
      <c r="J127" s="238">
        <v>1</v>
      </c>
      <c r="K127" s="214" t="s">
        <v>201</v>
      </c>
      <c r="L127" s="214" t="s">
        <v>202</v>
      </c>
      <c r="M127" s="214" t="s">
        <v>346</v>
      </c>
      <c r="N127" s="214" t="s">
        <v>348</v>
      </c>
      <c r="O127" s="214">
        <v>6</v>
      </c>
      <c r="P127" s="214">
        <v>6</v>
      </c>
      <c r="Q127" s="214">
        <v>6</v>
      </c>
      <c r="R127" s="247">
        <v>0.44700000000000001</v>
      </c>
      <c r="S127" s="247">
        <v>0.27300000000000002</v>
      </c>
      <c r="T127" s="247">
        <v>0.104</v>
      </c>
      <c r="U127" s="247">
        <v>0.32</v>
      </c>
      <c r="V127" s="241">
        <v>0.69700000000000006</v>
      </c>
    </row>
    <row r="128" spans="10:22" x14ac:dyDescent="0.25">
      <c r="J128" s="238">
        <v>1</v>
      </c>
      <c r="K128" s="214" t="s">
        <v>201</v>
      </c>
      <c r="L128" s="214" t="s">
        <v>202</v>
      </c>
      <c r="M128" s="214" t="s">
        <v>346</v>
      </c>
      <c r="N128" s="214" t="s">
        <v>349</v>
      </c>
      <c r="O128" s="214">
        <v>7</v>
      </c>
      <c r="P128" s="214">
        <v>7</v>
      </c>
      <c r="Q128" s="214">
        <v>7</v>
      </c>
      <c r="R128" s="247">
        <v>0.28799999999999998</v>
      </c>
      <c r="S128" s="247">
        <v>0.111</v>
      </c>
      <c r="T128" s="247">
        <v>0</v>
      </c>
      <c r="U128" s="247">
        <v>0.14499999999999999</v>
      </c>
      <c r="V128" s="241">
        <v>0.25600000000000001</v>
      </c>
    </row>
    <row r="129" spans="10:22" x14ac:dyDescent="0.25">
      <c r="J129" s="238">
        <v>1</v>
      </c>
      <c r="K129" s="214" t="s">
        <v>201</v>
      </c>
      <c r="L129" s="214" t="s">
        <v>202</v>
      </c>
      <c r="M129" s="214" t="s">
        <v>346</v>
      </c>
      <c r="N129" s="214" t="s">
        <v>350</v>
      </c>
      <c r="O129" s="214">
        <v>7</v>
      </c>
      <c r="P129" s="214">
        <v>7</v>
      </c>
      <c r="Q129" s="214">
        <v>7</v>
      </c>
      <c r="R129" s="247">
        <v>0.25600000000000001</v>
      </c>
      <c r="S129" s="247">
        <v>0.63700000000000001</v>
      </c>
      <c r="T129" s="247">
        <v>0</v>
      </c>
      <c r="U129" s="247">
        <v>0.17799999999999999</v>
      </c>
      <c r="V129" s="241">
        <v>0.81499999999999995</v>
      </c>
    </row>
    <row r="130" spans="10:22" x14ac:dyDescent="0.25">
      <c r="J130" s="238">
        <v>1</v>
      </c>
      <c r="K130" s="214" t="s">
        <v>201</v>
      </c>
      <c r="L130" s="214" t="s">
        <v>202</v>
      </c>
      <c r="M130" s="214" t="s">
        <v>346</v>
      </c>
      <c r="N130" s="214" t="s">
        <v>351</v>
      </c>
      <c r="O130" s="214">
        <v>6</v>
      </c>
      <c r="P130" s="214">
        <v>6</v>
      </c>
      <c r="Q130" s="214">
        <v>6</v>
      </c>
      <c r="R130" s="247">
        <v>0.317</v>
      </c>
      <c r="S130" s="247">
        <v>0.318</v>
      </c>
      <c r="T130" s="247">
        <v>0.20200000000000001</v>
      </c>
      <c r="U130" s="247">
        <v>0.35399999999999998</v>
      </c>
      <c r="V130" s="241">
        <v>0.874</v>
      </c>
    </row>
    <row r="131" spans="10:22" x14ac:dyDescent="0.25">
      <c r="J131" s="238">
        <v>1</v>
      </c>
      <c r="K131" s="214" t="s">
        <v>201</v>
      </c>
      <c r="L131" s="214" t="s">
        <v>352</v>
      </c>
      <c r="M131" s="214" t="s">
        <v>353</v>
      </c>
      <c r="N131" s="214" t="s">
        <v>354</v>
      </c>
      <c r="O131" s="214">
        <v>13</v>
      </c>
      <c r="P131" s="214">
        <v>13</v>
      </c>
      <c r="Q131" s="214">
        <v>13</v>
      </c>
      <c r="R131" s="247">
        <v>0.7</v>
      </c>
      <c r="S131" s="247">
        <v>0.5</v>
      </c>
      <c r="T131" s="247">
        <v>0.3</v>
      </c>
      <c r="U131" s="247">
        <v>0.3</v>
      </c>
      <c r="V131" s="241">
        <v>1.1000000000000001</v>
      </c>
    </row>
    <row r="132" spans="10:22" x14ac:dyDescent="0.25">
      <c r="J132" s="238">
        <v>1</v>
      </c>
      <c r="K132" s="214" t="s">
        <v>201</v>
      </c>
      <c r="L132" s="214" t="s">
        <v>209</v>
      </c>
      <c r="M132" s="214" t="s">
        <v>355</v>
      </c>
      <c r="N132" s="214" t="s">
        <v>356</v>
      </c>
      <c r="O132" s="214">
        <v>31</v>
      </c>
      <c r="P132" s="214">
        <v>31</v>
      </c>
      <c r="Q132" s="214">
        <v>31</v>
      </c>
      <c r="R132" s="247">
        <v>0.7</v>
      </c>
      <c r="S132" s="247">
        <v>5.8</v>
      </c>
      <c r="T132" s="247">
        <v>1.5</v>
      </c>
      <c r="U132" s="247">
        <v>0.48</v>
      </c>
      <c r="V132" s="241">
        <v>7.7799999999999994</v>
      </c>
    </row>
    <row r="133" spans="10:22" x14ac:dyDescent="0.25">
      <c r="J133" s="238">
        <v>1</v>
      </c>
      <c r="K133" s="214" t="s">
        <v>201</v>
      </c>
      <c r="L133" s="214" t="s">
        <v>209</v>
      </c>
      <c r="M133" s="214" t="s">
        <v>355</v>
      </c>
      <c r="N133" s="214" t="s">
        <v>343</v>
      </c>
      <c r="O133" s="214">
        <v>18</v>
      </c>
      <c r="P133" s="214">
        <v>18</v>
      </c>
      <c r="Q133" s="214"/>
      <c r="R133" s="247"/>
      <c r="S133" s="247"/>
      <c r="T133" s="247"/>
      <c r="U133" s="247"/>
      <c r="V133" s="241">
        <v>4</v>
      </c>
    </row>
    <row r="134" spans="10:22" x14ac:dyDescent="0.25">
      <c r="J134" s="238">
        <v>1</v>
      </c>
      <c r="K134" s="214" t="s">
        <v>201</v>
      </c>
      <c r="L134" s="214" t="s">
        <v>209</v>
      </c>
      <c r="M134" s="214" t="s">
        <v>355</v>
      </c>
      <c r="N134" s="214" t="s">
        <v>357</v>
      </c>
      <c r="O134" s="214">
        <v>34</v>
      </c>
      <c r="P134" s="214">
        <v>34</v>
      </c>
      <c r="Q134" s="214"/>
      <c r="R134" s="247"/>
      <c r="S134" s="247"/>
      <c r="T134" s="247"/>
      <c r="U134" s="247"/>
      <c r="V134" s="241">
        <v>3.8</v>
      </c>
    </row>
    <row r="135" spans="10:22" x14ac:dyDescent="0.25">
      <c r="J135" s="238">
        <v>1</v>
      </c>
      <c r="K135" s="214" t="s">
        <v>201</v>
      </c>
      <c r="L135" s="214" t="s">
        <v>209</v>
      </c>
      <c r="M135" s="214" t="s">
        <v>355</v>
      </c>
      <c r="N135" s="214" t="s">
        <v>358</v>
      </c>
      <c r="O135" s="214">
        <v>27</v>
      </c>
      <c r="P135" s="214">
        <v>27</v>
      </c>
      <c r="Q135" s="214"/>
      <c r="R135" s="247"/>
      <c r="S135" s="247"/>
      <c r="T135" s="247"/>
      <c r="U135" s="247"/>
      <c r="V135" s="241">
        <v>2.1</v>
      </c>
    </row>
    <row r="136" spans="10:22" x14ac:dyDescent="0.25">
      <c r="J136" s="238">
        <v>1</v>
      </c>
      <c r="K136" s="214" t="s">
        <v>201</v>
      </c>
      <c r="L136" s="214" t="s">
        <v>209</v>
      </c>
      <c r="M136" s="214" t="s">
        <v>201</v>
      </c>
      <c r="N136" s="214" t="s">
        <v>359</v>
      </c>
      <c r="O136" s="214">
        <v>15</v>
      </c>
      <c r="P136" s="214">
        <v>15</v>
      </c>
      <c r="Q136" s="214">
        <v>15</v>
      </c>
      <c r="R136" s="247">
        <v>0.7</v>
      </c>
      <c r="S136" s="247">
        <v>2.5</v>
      </c>
      <c r="T136" s="247">
        <v>0.35</v>
      </c>
      <c r="U136" s="247">
        <v>0.25</v>
      </c>
      <c r="V136" s="241">
        <v>3.1</v>
      </c>
    </row>
    <row r="137" spans="10:22" x14ac:dyDescent="0.25">
      <c r="J137" s="238">
        <v>1</v>
      </c>
      <c r="K137" s="214" t="s">
        <v>201</v>
      </c>
      <c r="L137" s="214" t="s">
        <v>209</v>
      </c>
      <c r="M137" s="214" t="s">
        <v>212</v>
      </c>
      <c r="N137" s="214" t="s">
        <v>360</v>
      </c>
      <c r="O137" s="214">
        <v>16</v>
      </c>
      <c r="P137" s="214">
        <v>16</v>
      </c>
      <c r="Q137" s="214">
        <v>0</v>
      </c>
      <c r="R137" s="247">
        <v>0.7</v>
      </c>
      <c r="S137" s="247">
        <v>2.1</v>
      </c>
      <c r="T137" s="247">
        <v>0.5</v>
      </c>
      <c r="U137" s="247">
        <v>0.1</v>
      </c>
      <c r="V137" s="241">
        <v>2.7</v>
      </c>
    </row>
    <row r="138" spans="10:22" x14ac:dyDescent="0.25">
      <c r="J138" s="238">
        <v>1</v>
      </c>
      <c r="K138" s="214" t="s">
        <v>201</v>
      </c>
      <c r="L138" s="214" t="s">
        <v>209</v>
      </c>
      <c r="M138" s="214" t="s">
        <v>212</v>
      </c>
      <c r="N138" s="214" t="s">
        <v>361</v>
      </c>
      <c r="O138" s="214">
        <v>29</v>
      </c>
      <c r="P138" s="214">
        <v>29</v>
      </c>
      <c r="Q138" s="214">
        <v>39</v>
      </c>
      <c r="R138" s="247">
        <v>0.7</v>
      </c>
      <c r="S138" s="247">
        <v>1.25</v>
      </c>
      <c r="T138" s="247">
        <v>1.1499999999999999</v>
      </c>
      <c r="U138" s="247">
        <v>0.25</v>
      </c>
      <c r="V138" s="241">
        <v>2.65</v>
      </c>
    </row>
    <row r="139" spans="10:22" x14ac:dyDescent="0.25">
      <c r="J139" s="238">
        <v>1</v>
      </c>
      <c r="K139" s="214" t="s">
        <v>201</v>
      </c>
      <c r="L139" s="214" t="s">
        <v>209</v>
      </c>
      <c r="M139" s="214" t="s">
        <v>212</v>
      </c>
      <c r="N139" s="214" t="s">
        <v>213</v>
      </c>
      <c r="O139" s="214">
        <v>37</v>
      </c>
      <c r="P139" s="214">
        <v>37</v>
      </c>
      <c r="Q139" s="214">
        <v>37</v>
      </c>
      <c r="R139" s="247">
        <v>0.7</v>
      </c>
      <c r="S139" s="247">
        <v>1</v>
      </c>
      <c r="T139" s="247">
        <v>1.22</v>
      </c>
      <c r="U139" s="247">
        <v>1.27</v>
      </c>
      <c r="V139" s="241">
        <v>3.4899999999999998</v>
      </c>
    </row>
    <row r="140" spans="10:22" x14ac:dyDescent="0.25">
      <c r="J140" s="238">
        <v>1</v>
      </c>
      <c r="K140" s="214" t="s">
        <v>201</v>
      </c>
      <c r="L140" s="214" t="s">
        <v>209</v>
      </c>
      <c r="M140" s="214" t="s">
        <v>212</v>
      </c>
      <c r="N140" s="214" t="s">
        <v>362</v>
      </c>
      <c r="O140" s="214">
        <v>41</v>
      </c>
      <c r="P140" s="214">
        <v>41</v>
      </c>
      <c r="Q140" s="214">
        <v>0</v>
      </c>
      <c r="R140" s="247">
        <v>0.7</v>
      </c>
      <c r="S140" s="247">
        <v>4.0999999999999996</v>
      </c>
      <c r="T140" s="247">
        <v>1.85</v>
      </c>
      <c r="U140" s="247">
        <v>0.25</v>
      </c>
      <c r="V140" s="241">
        <v>6.1999999999999993</v>
      </c>
    </row>
    <row r="141" spans="10:22" x14ac:dyDescent="0.25">
      <c r="J141" s="238">
        <v>1</v>
      </c>
      <c r="K141" s="214" t="s">
        <v>201</v>
      </c>
      <c r="L141" s="214" t="s">
        <v>209</v>
      </c>
      <c r="M141" s="214" t="s">
        <v>212</v>
      </c>
      <c r="N141" s="214" t="s">
        <v>363</v>
      </c>
      <c r="O141" s="214">
        <v>17</v>
      </c>
      <c r="P141" s="214">
        <v>17</v>
      </c>
      <c r="Q141" s="214">
        <v>17</v>
      </c>
      <c r="R141" s="247">
        <v>0.7</v>
      </c>
      <c r="S141" s="247">
        <v>2.4700000000000002</v>
      </c>
      <c r="T141" s="247">
        <v>0.2</v>
      </c>
      <c r="U141" s="247">
        <v>0.2</v>
      </c>
      <c r="V141" s="241">
        <v>2.8700000000000006</v>
      </c>
    </row>
    <row r="142" spans="10:22" x14ac:dyDescent="0.25">
      <c r="J142" s="238">
        <v>1</v>
      </c>
      <c r="K142" s="214" t="s">
        <v>201</v>
      </c>
      <c r="L142" s="214" t="s">
        <v>209</v>
      </c>
      <c r="M142" s="214" t="s">
        <v>212</v>
      </c>
      <c r="N142" s="214" t="s">
        <v>364</v>
      </c>
      <c r="O142" s="214">
        <v>40</v>
      </c>
      <c r="P142" s="214">
        <v>40</v>
      </c>
      <c r="Q142" s="214"/>
      <c r="R142" s="247"/>
      <c r="S142" s="247"/>
      <c r="T142" s="247"/>
      <c r="U142" s="247"/>
      <c r="V142" s="241">
        <v>3.05</v>
      </c>
    </row>
    <row r="143" spans="10:22" x14ac:dyDescent="0.25">
      <c r="J143" s="240">
        <v>1</v>
      </c>
      <c r="K143" s="214" t="s">
        <v>201</v>
      </c>
      <c r="L143" s="214" t="s">
        <v>209</v>
      </c>
      <c r="M143" s="214" t="s">
        <v>212</v>
      </c>
      <c r="N143" s="214" t="s">
        <v>365</v>
      </c>
      <c r="O143" s="214">
        <v>10</v>
      </c>
      <c r="P143" s="214">
        <v>10</v>
      </c>
      <c r="Q143" s="214"/>
      <c r="R143" s="247"/>
      <c r="S143" s="247"/>
      <c r="T143" s="247"/>
      <c r="U143" s="247"/>
      <c r="V143" s="241">
        <v>0.4</v>
      </c>
    </row>
    <row r="144" spans="10:22" x14ac:dyDescent="0.25">
      <c r="J144" s="240">
        <v>1</v>
      </c>
      <c r="K144" s="214" t="s">
        <v>201</v>
      </c>
      <c r="L144" s="214" t="s">
        <v>209</v>
      </c>
      <c r="M144" s="214" t="s">
        <v>366</v>
      </c>
      <c r="N144" s="214" t="s">
        <v>367</v>
      </c>
      <c r="O144" s="214">
        <v>7</v>
      </c>
      <c r="P144" s="214">
        <v>7</v>
      </c>
      <c r="Q144" s="214">
        <v>7</v>
      </c>
      <c r="R144" s="247">
        <v>0.7</v>
      </c>
      <c r="S144" s="247">
        <v>0.88</v>
      </c>
      <c r="T144" s="247">
        <v>0.55000000000000004</v>
      </c>
      <c r="U144" s="247">
        <v>0.1</v>
      </c>
      <c r="V144" s="241">
        <v>1.5300000000000002</v>
      </c>
    </row>
    <row r="145" spans="10:22" x14ac:dyDescent="0.25">
      <c r="J145" s="240">
        <v>1</v>
      </c>
      <c r="K145" s="214" t="s">
        <v>201</v>
      </c>
      <c r="L145" s="214" t="s">
        <v>209</v>
      </c>
      <c r="M145" s="214" t="s">
        <v>368</v>
      </c>
      <c r="N145" s="214" t="s">
        <v>369</v>
      </c>
      <c r="O145" s="214">
        <v>13</v>
      </c>
      <c r="P145" s="214">
        <v>13</v>
      </c>
      <c r="Q145" s="214">
        <v>0</v>
      </c>
      <c r="R145" s="247">
        <v>0.7</v>
      </c>
      <c r="S145" s="247">
        <v>0</v>
      </c>
      <c r="T145" s="247">
        <v>0</v>
      </c>
      <c r="U145" s="247">
        <v>0</v>
      </c>
      <c r="V145" s="241">
        <v>2.2000000000000002</v>
      </c>
    </row>
    <row r="146" spans="10:22" x14ac:dyDescent="0.25">
      <c r="J146" s="240">
        <v>1</v>
      </c>
      <c r="K146" s="214" t="s">
        <v>201</v>
      </c>
      <c r="L146" s="214" t="s">
        <v>209</v>
      </c>
      <c r="M146" s="214" t="s">
        <v>370</v>
      </c>
      <c r="N146" s="214" t="s">
        <v>371</v>
      </c>
      <c r="O146" s="214">
        <v>35</v>
      </c>
      <c r="P146" s="214">
        <v>35</v>
      </c>
      <c r="Q146" s="214"/>
      <c r="R146" s="247"/>
      <c r="S146" s="247"/>
      <c r="T146" s="247"/>
      <c r="U146" s="247"/>
      <c r="V146" s="241">
        <v>3.45</v>
      </c>
    </row>
    <row r="147" spans="10:22" x14ac:dyDescent="0.25">
      <c r="J147" s="240">
        <v>1</v>
      </c>
      <c r="K147" s="214" t="s">
        <v>201</v>
      </c>
      <c r="L147" s="214" t="s">
        <v>209</v>
      </c>
      <c r="M147" s="214" t="s">
        <v>372</v>
      </c>
      <c r="N147" s="214" t="s">
        <v>373</v>
      </c>
      <c r="O147" s="214">
        <v>13</v>
      </c>
      <c r="P147" s="214">
        <v>13</v>
      </c>
      <c r="Q147" s="214">
        <v>13</v>
      </c>
      <c r="R147" s="247">
        <v>0.54300000000000004</v>
      </c>
      <c r="S147" s="247">
        <v>0.45900000000000002</v>
      </c>
      <c r="T147" s="247">
        <v>0.34599999999999997</v>
      </c>
      <c r="U147" s="247">
        <v>0.28699999999999998</v>
      </c>
      <c r="V147" s="241">
        <v>1.0919999999999999</v>
      </c>
    </row>
    <row r="148" spans="10:22" x14ac:dyDescent="0.25">
      <c r="J148" s="240">
        <v>1</v>
      </c>
      <c r="K148" s="214" t="s">
        <v>201</v>
      </c>
      <c r="L148" s="214" t="s">
        <v>209</v>
      </c>
      <c r="M148" s="214" t="s">
        <v>210</v>
      </c>
      <c r="N148" s="214" t="s">
        <v>211</v>
      </c>
      <c r="O148" s="214">
        <v>29</v>
      </c>
      <c r="P148" s="214">
        <v>29</v>
      </c>
      <c r="Q148" s="214">
        <v>29</v>
      </c>
      <c r="R148" s="247">
        <v>0.7</v>
      </c>
      <c r="S148" s="247">
        <v>0.26500000000000001</v>
      </c>
      <c r="T148" s="247">
        <v>0.318</v>
      </c>
      <c r="U148" s="247">
        <v>0.318</v>
      </c>
      <c r="V148" s="241">
        <v>0.90100000000000002</v>
      </c>
    </row>
    <row r="149" spans="10:22" x14ac:dyDescent="0.25">
      <c r="J149" s="238">
        <v>1</v>
      </c>
      <c r="K149" s="214" t="s">
        <v>201</v>
      </c>
      <c r="L149" s="214" t="s">
        <v>209</v>
      </c>
      <c r="M149" s="214" t="s">
        <v>374</v>
      </c>
      <c r="N149" s="214" t="s">
        <v>375</v>
      </c>
      <c r="O149" s="214">
        <v>7</v>
      </c>
      <c r="P149" s="214">
        <v>7</v>
      </c>
      <c r="Q149" s="214">
        <v>0</v>
      </c>
      <c r="R149" s="247">
        <v>0.7</v>
      </c>
      <c r="S149" s="247">
        <v>0</v>
      </c>
      <c r="T149" s="247">
        <v>0</v>
      </c>
      <c r="U149" s="247">
        <v>0</v>
      </c>
      <c r="V149" s="241">
        <v>0.65</v>
      </c>
    </row>
    <row r="150" spans="10:22" x14ac:dyDescent="0.25">
      <c r="J150" s="240">
        <v>1</v>
      </c>
      <c r="K150" s="214" t="s">
        <v>201</v>
      </c>
      <c r="L150" s="214" t="s">
        <v>209</v>
      </c>
      <c r="M150" s="214" t="s">
        <v>376</v>
      </c>
      <c r="N150" s="214" t="s">
        <v>377</v>
      </c>
      <c r="O150" s="214">
        <v>300</v>
      </c>
      <c r="P150" s="214">
        <v>300</v>
      </c>
      <c r="Q150" s="214"/>
      <c r="R150" s="247"/>
      <c r="S150" s="247"/>
      <c r="T150" s="247"/>
      <c r="U150" s="247"/>
      <c r="V150" s="241">
        <v>2.65</v>
      </c>
    </row>
    <row r="151" spans="10:22" x14ac:dyDescent="0.25">
      <c r="J151" s="240">
        <v>1</v>
      </c>
      <c r="K151" s="214" t="s">
        <v>201</v>
      </c>
      <c r="L151" s="214" t="s">
        <v>378</v>
      </c>
      <c r="M151" s="214" t="s">
        <v>379</v>
      </c>
      <c r="N151" s="214" t="s">
        <v>380</v>
      </c>
      <c r="O151" s="214">
        <v>11</v>
      </c>
      <c r="P151" s="214">
        <v>11</v>
      </c>
      <c r="Q151" s="214"/>
      <c r="R151" s="247"/>
      <c r="S151" s="247"/>
      <c r="T151" s="247"/>
      <c r="U151" s="247"/>
      <c r="V151" s="241">
        <v>1.1399999999999999</v>
      </c>
    </row>
    <row r="152" spans="10:22" x14ac:dyDescent="0.25">
      <c r="J152" s="240">
        <v>1</v>
      </c>
      <c r="K152" s="214" t="s">
        <v>201</v>
      </c>
      <c r="L152" s="214" t="s">
        <v>378</v>
      </c>
      <c r="M152" s="214" t="s">
        <v>378</v>
      </c>
      <c r="N152" s="214" t="s">
        <v>381</v>
      </c>
      <c r="O152" s="214">
        <v>8</v>
      </c>
      <c r="P152" s="214">
        <v>8</v>
      </c>
      <c r="Q152" s="214"/>
      <c r="R152" s="247"/>
      <c r="S152" s="247"/>
      <c r="T152" s="247"/>
      <c r="U152" s="247"/>
      <c r="V152" s="241">
        <v>1.05</v>
      </c>
    </row>
    <row r="153" spans="10:22" x14ac:dyDescent="0.25">
      <c r="J153" s="238">
        <v>1</v>
      </c>
      <c r="K153" s="214" t="s">
        <v>201</v>
      </c>
      <c r="L153" s="214" t="s">
        <v>378</v>
      </c>
      <c r="M153" s="214" t="s">
        <v>382</v>
      </c>
      <c r="N153" s="214" t="s">
        <v>383</v>
      </c>
      <c r="O153" s="214">
        <v>10</v>
      </c>
      <c r="P153" s="214">
        <v>10</v>
      </c>
      <c r="Q153" s="214">
        <v>10</v>
      </c>
      <c r="R153" s="247">
        <v>0.5</v>
      </c>
      <c r="S153" s="247">
        <v>0.83</v>
      </c>
      <c r="T153" s="247">
        <v>0.45</v>
      </c>
      <c r="U153" s="247">
        <v>0.45</v>
      </c>
      <c r="V153" s="241">
        <v>1.73</v>
      </c>
    </row>
    <row r="154" spans="10:22" x14ac:dyDescent="0.25">
      <c r="J154" s="240">
        <v>1</v>
      </c>
      <c r="K154" s="214" t="s">
        <v>201</v>
      </c>
      <c r="L154" s="214" t="s">
        <v>378</v>
      </c>
      <c r="M154" s="214" t="s">
        <v>382</v>
      </c>
      <c r="N154" s="214" t="s">
        <v>384</v>
      </c>
      <c r="O154" s="214">
        <v>8</v>
      </c>
      <c r="P154" s="214">
        <v>8</v>
      </c>
      <c r="Q154" s="214"/>
      <c r="R154" s="247"/>
      <c r="S154" s="247"/>
      <c r="T154" s="247"/>
      <c r="U154" s="247"/>
      <c r="V154" s="241">
        <v>1.1000000000000001</v>
      </c>
    </row>
    <row r="155" spans="10:22" x14ac:dyDescent="0.25">
      <c r="J155" s="240">
        <v>1</v>
      </c>
      <c r="K155" s="214" t="s">
        <v>201</v>
      </c>
      <c r="L155" s="214" t="s">
        <v>378</v>
      </c>
      <c r="M155" s="214" t="s">
        <v>385</v>
      </c>
      <c r="N155" s="214" t="s">
        <v>386</v>
      </c>
      <c r="O155" s="214">
        <v>36</v>
      </c>
      <c r="P155" s="214">
        <v>36</v>
      </c>
      <c r="Q155" s="214">
        <v>36</v>
      </c>
      <c r="R155" s="247">
        <v>1.36</v>
      </c>
      <c r="S155" s="247">
        <v>2.36</v>
      </c>
      <c r="T155" s="247">
        <v>1.05</v>
      </c>
      <c r="U155" s="247">
        <v>0.95</v>
      </c>
      <c r="V155" s="241">
        <v>4.3600000000000003</v>
      </c>
    </row>
    <row r="156" spans="10:22" x14ac:dyDescent="0.25">
      <c r="J156" s="240">
        <v>1</v>
      </c>
      <c r="K156" s="214" t="s">
        <v>201</v>
      </c>
      <c r="L156" s="214" t="s">
        <v>387</v>
      </c>
      <c r="M156" s="214" t="s">
        <v>388</v>
      </c>
      <c r="N156" s="214" t="s">
        <v>389</v>
      </c>
      <c r="O156" s="214">
        <v>6</v>
      </c>
      <c r="P156" s="214">
        <v>6</v>
      </c>
      <c r="Q156" s="214">
        <v>6</v>
      </c>
      <c r="R156" s="247">
        <v>0.12</v>
      </c>
      <c r="S156" s="247">
        <v>0.11</v>
      </c>
      <c r="T156" s="247">
        <v>0</v>
      </c>
      <c r="U156" s="247">
        <v>0.12</v>
      </c>
      <c r="V156" s="241">
        <v>0.23</v>
      </c>
    </row>
    <row r="157" spans="10:22" x14ac:dyDescent="0.25">
      <c r="J157" s="238">
        <v>1</v>
      </c>
      <c r="K157" s="214" t="s">
        <v>201</v>
      </c>
      <c r="L157" s="214" t="s">
        <v>387</v>
      </c>
      <c r="M157" s="214" t="s">
        <v>388</v>
      </c>
      <c r="N157" s="214" t="s">
        <v>390</v>
      </c>
      <c r="O157" s="214">
        <v>3</v>
      </c>
      <c r="P157" s="214">
        <v>3</v>
      </c>
      <c r="Q157" s="214"/>
      <c r="R157" s="247"/>
      <c r="S157" s="247"/>
      <c r="T157" s="247"/>
      <c r="U157" s="247"/>
      <c r="V157" s="241">
        <v>0.8</v>
      </c>
    </row>
    <row r="158" spans="10:22" x14ac:dyDescent="0.25">
      <c r="J158" s="238">
        <v>1</v>
      </c>
      <c r="K158" s="214" t="s">
        <v>201</v>
      </c>
      <c r="L158" s="214" t="s">
        <v>387</v>
      </c>
      <c r="M158" s="214" t="s">
        <v>391</v>
      </c>
      <c r="N158" s="214" t="s">
        <v>392</v>
      </c>
      <c r="O158" s="214">
        <v>37</v>
      </c>
      <c r="P158" s="214">
        <v>37</v>
      </c>
      <c r="Q158" s="214">
        <v>21</v>
      </c>
      <c r="R158" s="247">
        <v>0.3</v>
      </c>
      <c r="S158" s="247">
        <v>2.5499999999999998</v>
      </c>
      <c r="T158" s="247">
        <v>0.6</v>
      </c>
      <c r="U158" s="247">
        <v>0.45</v>
      </c>
      <c r="V158" s="241">
        <v>3.27</v>
      </c>
    </row>
    <row r="159" spans="10:22" x14ac:dyDescent="0.25">
      <c r="J159" s="238">
        <v>1</v>
      </c>
      <c r="K159" s="214" t="s">
        <v>201</v>
      </c>
      <c r="L159" s="214" t="s">
        <v>387</v>
      </c>
      <c r="M159" s="214" t="s">
        <v>393</v>
      </c>
      <c r="N159" s="214" t="s">
        <v>394</v>
      </c>
      <c r="O159" s="214">
        <v>20</v>
      </c>
      <c r="P159" s="214">
        <v>20</v>
      </c>
      <c r="Q159" s="214"/>
      <c r="R159" s="247"/>
      <c r="S159" s="247"/>
      <c r="T159" s="247"/>
      <c r="U159" s="247"/>
      <c r="V159" s="241">
        <v>0.4</v>
      </c>
    </row>
    <row r="160" spans="10:22" x14ac:dyDescent="0.25">
      <c r="J160" s="238">
        <v>1</v>
      </c>
      <c r="K160" s="214" t="s">
        <v>201</v>
      </c>
      <c r="L160" s="214" t="s">
        <v>395</v>
      </c>
      <c r="M160" s="214" t="s">
        <v>396</v>
      </c>
      <c r="N160" s="214" t="s">
        <v>397</v>
      </c>
      <c r="O160" s="214">
        <v>93</v>
      </c>
      <c r="P160" s="214">
        <v>93</v>
      </c>
      <c r="Q160" s="214">
        <v>93</v>
      </c>
      <c r="R160" s="247">
        <v>5.6509999999999998</v>
      </c>
      <c r="S160" s="247">
        <v>1.839</v>
      </c>
      <c r="T160" s="247">
        <v>1.7390000000000001</v>
      </c>
      <c r="U160" s="247">
        <v>0.98599999999999999</v>
      </c>
      <c r="V160" s="241">
        <v>4.5640000000000001</v>
      </c>
    </row>
    <row r="161" spans="10:22" x14ac:dyDescent="0.25">
      <c r="J161" s="238">
        <v>1</v>
      </c>
      <c r="K161" s="214" t="s">
        <v>201</v>
      </c>
      <c r="L161" s="214" t="s">
        <v>395</v>
      </c>
      <c r="M161" s="214" t="s">
        <v>398</v>
      </c>
      <c r="N161" s="214" t="s">
        <v>399</v>
      </c>
      <c r="O161" s="214">
        <v>4</v>
      </c>
      <c r="P161" s="214">
        <v>4</v>
      </c>
      <c r="Q161" s="214">
        <v>4</v>
      </c>
      <c r="R161" s="247">
        <v>0.2</v>
      </c>
      <c r="S161" s="247">
        <v>0.8</v>
      </c>
      <c r="T161" s="247">
        <v>0</v>
      </c>
      <c r="U161" s="247">
        <v>0.3</v>
      </c>
      <c r="V161" s="241">
        <v>1.1000000000000001</v>
      </c>
    </row>
    <row r="162" spans="10:22" x14ac:dyDescent="0.25">
      <c r="J162" s="238">
        <v>1</v>
      </c>
      <c r="K162" s="214" t="s">
        <v>201</v>
      </c>
      <c r="L162" s="214" t="s">
        <v>395</v>
      </c>
      <c r="M162" s="214" t="s">
        <v>398</v>
      </c>
      <c r="N162" s="214" t="s">
        <v>400</v>
      </c>
      <c r="O162" s="214">
        <v>20</v>
      </c>
      <c r="P162" s="214">
        <v>20</v>
      </c>
      <c r="Q162" s="214"/>
      <c r="R162" s="247"/>
      <c r="S162" s="247"/>
      <c r="T162" s="247"/>
      <c r="U162" s="247"/>
      <c r="V162" s="241">
        <v>1</v>
      </c>
    </row>
    <row r="163" spans="10:22" x14ac:dyDescent="0.25">
      <c r="J163" s="238">
        <v>1</v>
      </c>
      <c r="K163" s="214" t="s">
        <v>201</v>
      </c>
      <c r="L163" s="214" t="s">
        <v>395</v>
      </c>
      <c r="M163" s="214" t="s">
        <v>399</v>
      </c>
      <c r="N163" s="214" t="s">
        <v>401</v>
      </c>
      <c r="O163" s="214">
        <v>11</v>
      </c>
      <c r="P163" s="214">
        <v>11</v>
      </c>
      <c r="Q163" s="214">
        <v>4</v>
      </c>
      <c r="R163" s="247">
        <v>0.7</v>
      </c>
      <c r="S163" s="247">
        <v>0.8</v>
      </c>
      <c r="T163" s="247">
        <v>0</v>
      </c>
      <c r="U163" s="247">
        <v>0.3</v>
      </c>
      <c r="V163" s="241">
        <v>0.7</v>
      </c>
    </row>
    <row r="164" spans="10:22" x14ac:dyDescent="0.25">
      <c r="J164" s="238">
        <v>1</v>
      </c>
      <c r="K164" s="214" t="s">
        <v>201</v>
      </c>
      <c r="L164" s="214" t="s">
        <v>219</v>
      </c>
      <c r="M164" s="214" t="s">
        <v>402</v>
      </c>
      <c r="N164" s="214" t="s">
        <v>403</v>
      </c>
      <c r="O164" s="214">
        <v>11</v>
      </c>
      <c r="P164" s="214">
        <v>11</v>
      </c>
      <c r="Q164" s="214">
        <v>11</v>
      </c>
      <c r="R164" s="247">
        <v>0.7</v>
      </c>
      <c r="S164" s="247">
        <v>2.65</v>
      </c>
      <c r="T164" s="247">
        <v>0.15</v>
      </c>
      <c r="U164" s="247">
        <v>0.1</v>
      </c>
      <c r="V164" s="241">
        <v>2.9</v>
      </c>
    </row>
    <row r="165" spans="10:22" x14ac:dyDescent="0.25">
      <c r="J165" s="238">
        <v>1</v>
      </c>
      <c r="K165" s="214" t="s">
        <v>201</v>
      </c>
      <c r="L165" s="214" t="s">
        <v>219</v>
      </c>
      <c r="M165" s="214" t="s">
        <v>402</v>
      </c>
      <c r="N165" s="214" t="s">
        <v>404</v>
      </c>
      <c r="O165" s="214">
        <v>14</v>
      </c>
      <c r="P165" s="214">
        <v>14</v>
      </c>
      <c r="Q165" s="214"/>
      <c r="R165" s="247"/>
      <c r="S165" s="247"/>
      <c r="T165" s="247"/>
      <c r="U165" s="247"/>
      <c r="V165" s="241">
        <v>3.7</v>
      </c>
    </row>
    <row r="166" spans="10:22" x14ac:dyDescent="0.25">
      <c r="J166" s="238">
        <v>1</v>
      </c>
      <c r="K166" s="214" t="s">
        <v>201</v>
      </c>
      <c r="L166" s="214" t="s">
        <v>219</v>
      </c>
      <c r="M166" s="214" t="s">
        <v>405</v>
      </c>
      <c r="N166" s="214" t="s">
        <v>406</v>
      </c>
      <c r="O166" s="214">
        <v>21</v>
      </c>
      <c r="P166" s="214">
        <v>21</v>
      </c>
      <c r="Q166" s="214">
        <v>14</v>
      </c>
      <c r="R166" s="247">
        <v>0.7</v>
      </c>
      <c r="S166" s="247">
        <v>1.72</v>
      </c>
      <c r="T166" s="247">
        <v>0.75</v>
      </c>
      <c r="U166" s="247">
        <v>0.16</v>
      </c>
      <c r="V166" s="241">
        <v>2.15</v>
      </c>
    </row>
    <row r="167" spans="10:22" x14ac:dyDescent="0.25">
      <c r="J167" s="238">
        <v>1</v>
      </c>
      <c r="K167" s="214" t="s">
        <v>201</v>
      </c>
      <c r="L167" s="214" t="s">
        <v>219</v>
      </c>
      <c r="M167" s="214" t="s">
        <v>405</v>
      </c>
      <c r="N167" s="214" t="s">
        <v>407</v>
      </c>
      <c r="O167" s="214">
        <v>22</v>
      </c>
      <c r="P167" s="214">
        <v>22</v>
      </c>
      <c r="Q167" s="214"/>
      <c r="R167" s="247"/>
      <c r="S167" s="247"/>
      <c r="T167" s="247"/>
      <c r="U167" s="247"/>
      <c r="V167" s="241">
        <v>2.1</v>
      </c>
    </row>
    <row r="168" spans="10:22" x14ac:dyDescent="0.25">
      <c r="J168" s="238">
        <v>1</v>
      </c>
      <c r="K168" s="214" t="s">
        <v>201</v>
      </c>
      <c r="L168" s="214" t="s">
        <v>219</v>
      </c>
      <c r="M168" s="214" t="s">
        <v>408</v>
      </c>
      <c r="N168" s="214" t="s">
        <v>409</v>
      </c>
      <c r="O168" s="214">
        <v>7</v>
      </c>
      <c r="P168" s="214">
        <v>7</v>
      </c>
      <c r="Q168" s="214">
        <v>7</v>
      </c>
      <c r="R168" s="247">
        <v>0.7</v>
      </c>
      <c r="S168" s="247">
        <v>1</v>
      </c>
      <c r="T168" s="247">
        <v>0.55000000000000004</v>
      </c>
      <c r="U168" s="247">
        <v>0.75</v>
      </c>
      <c r="V168" s="241">
        <v>2.2999999999999998</v>
      </c>
    </row>
    <row r="169" spans="10:22" x14ac:dyDescent="0.25">
      <c r="J169" s="238">
        <v>1</v>
      </c>
      <c r="K169" s="214" t="s">
        <v>201</v>
      </c>
      <c r="L169" s="214" t="s">
        <v>219</v>
      </c>
      <c r="M169" s="214" t="s">
        <v>408</v>
      </c>
      <c r="N169" s="214" t="s">
        <v>410</v>
      </c>
      <c r="O169" s="214">
        <v>23</v>
      </c>
      <c r="P169" s="214">
        <v>23</v>
      </c>
      <c r="Q169" s="214"/>
      <c r="R169" s="247"/>
      <c r="S169" s="247"/>
      <c r="T169" s="247"/>
      <c r="U169" s="247"/>
      <c r="V169" s="241">
        <v>0.5</v>
      </c>
    </row>
    <row r="170" spans="10:22" x14ac:dyDescent="0.25">
      <c r="J170" s="238">
        <v>1</v>
      </c>
      <c r="K170" s="214" t="s">
        <v>201</v>
      </c>
      <c r="L170" s="214" t="s">
        <v>219</v>
      </c>
      <c r="M170" s="214" t="s">
        <v>408</v>
      </c>
      <c r="N170" s="214" t="s">
        <v>411</v>
      </c>
      <c r="O170" s="214">
        <v>9</v>
      </c>
      <c r="P170" s="214">
        <v>9</v>
      </c>
      <c r="Q170" s="214"/>
      <c r="R170" s="247"/>
      <c r="S170" s="247"/>
      <c r="T170" s="247"/>
      <c r="U170" s="247"/>
      <c r="V170" s="241">
        <v>0.9</v>
      </c>
    </row>
    <row r="171" spans="10:22" x14ac:dyDescent="0.25">
      <c r="J171" s="238">
        <v>1</v>
      </c>
      <c r="K171" s="214" t="s">
        <v>201</v>
      </c>
      <c r="L171" s="214" t="s">
        <v>219</v>
      </c>
      <c r="M171" s="214" t="s">
        <v>408</v>
      </c>
      <c r="N171" s="214" t="s">
        <v>412</v>
      </c>
      <c r="O171" s="214">
        <v>8</v>
      </c>
      <c r="P171" s="214">
        <v>8</v>
      </c>
      <c r="Q171" s="214"/>
      <c r="R171" s="247"/>
      <c r="S171" s="247"/>
      <c r="T171" s="247"/>
      <c r="U171" s="247"/>
      <c r="V171" s="241">
        <v>0.3</v>
      </c>
    </row>
    <row r="172" spans="10:22" x14ac:dyDescent="0.25">
      <c r="J172" s="238">
        <v>1</v>
      </c>
      <c r="K172" s="214" t="s">
        <v>201</v>
      </c>
      <c r="L172" s="214" t="s">
        <v>219</v>
      </c>
      <c r="M172" s="214" t="s">
        <v>413</v>
      </c>
      <c r="N172" s="214" t="s">
        <v>414</v>
      </c>
      <c r="O172" s="214">
        <v>14</v>
      </c>
      <c r="P172" s="214">
        <v>14</v>
      </c>
      <c r="Q172" s="214">
        <v>16</v>
      </c>
      <c r="R172" s="247">
        <v>0.7</v>
      </c>
      <c r="S172" s="247">
        <v>1.88</v>
      </c>
      <c r="T172" s="247">
        <v>0.53</v>
      </c>
      <c r="U172" s="247">
        <v>0.2</v>
      </c>
      <c r="V172" s="241">
        <v>0.8</v>
      </c>
    </row>
    <row r="173" spans="10:22" x14ac:dyDescent="0.25">
      <c r="J173" s="238">
        <v>1</v>
      </c>
      <c r="K173" s="214" t="s">
        <v>201</v>
      </c>
      <c r="L173" s="214" t="s">
        <v>219</v>
      </c>
      <c r="M173" s="214" t="s">
        <v>413</v>
      </c>
      <c r="N173" s="214" t="s">
        <v>415</v>
      </c>
      <c r="O173" s="214">
        <v>15</v>
      </c>
      <c r="P173" s="214">
        <v>15</v>
      </c>
      <c r="Q173" s="214">
        <v>0</v>
      </c>
      <c r="R173" s="247">
        <v>0.7</v>
      </c>
      <c r="S173" s="247">
        <v>0</v>
      </c>
      <c r="T173" s="247">
        <v>0</v>
      </c>
      <c r="U173" s="247">
        <v>0</v>
      </c>
      <c r="V173" s="241">
        <v>2.15</v>
      </c>
    </row>
    <row r="174" spans="10:22" x14ac:dyDescent="0.25">
      <c r="J174" s="238">
        <v>1</v>
      </c>
      <c r="K174" s="214" t="s">
        <v>201</v>
      </c>
      <c r="L174" s="214" t="s">
        <v>219</v>
      </c>
      <c r="M174" s="214" t="s">
        <v>413</v>
      </c>
      <c r="N174" s="214" t="s">
        <v>416</v>
      </c>
      <c r="O174" s="214">
        <v>46</v>
      </c>
      <c r="P174" s="214">
        <v>46</v>
      </c>
      <c r="Q174" s="214"/>
      <c r="R174" s="247"/>
      <c r="S174" s="247"/>
      <c r="T174" s="247"/>
      <c r="U174" s="247"/>
      <c r="V174" s="241">
        <v>19.2</v>
      </c>
    </row>
    <row r="175" spans="10:22" x14ac:dyDescent="0.25">
      <c r="J175" s="238">
        <v>1</v>
      </c>
      <c r="K175" s="214" t="s">
        <v>201</v>
      </c>
      <c r="L175" s="214" t="s">
        <v>219</v>
      </c>
      <c r="M175" s="214" t="s">
        <v>413</v>
      </c>
      <c r="N175" s="214" t="s">
        <v>413</v>
      </c>
      <c r="O175" s="214">
        <v>7</v>
      </c>
      <c r="P175" s="214">
        <v>7</v>
      </c>
      <c r="Q175" s="214">
        <v>7</v>
      </c>
      <c r="R175" s="247">
        <v>0.7</v>
      </c>
      <c r="S175" s="247">
        <v>1.1499999999999999</v>
      </c>
      <c r="T175" s="247">
        <v>0.2</v>
      </c>
      <c r="U175" s="247">
        <v>0.12</v>
      </c>
      <c r="V175" s="241">
        <v>1.4699999999999998</v>
      </c>
    </row>
    <row r="176" spans="10:22" x14ac:dyDescent="0.25">
      <c r="J176" s="238">
        <v>1</v>
      </c>
      <c r="K176" s="214" t="s">
        <v>201</v>
      </c>
      <c r="L176" s="214" t="s">
        <v>219</v>
      </c>
      <c r="M176" s="214" t="s">
        <v>413</v>
      </c>
      <c r="N176" s="214" t="s">
        <v>407</v>
      </c>
      <c r="O176" s="214">
        <v>22</v>
      </c>
      <c r="P176" s="214">
        <v>22</v>
      </c>
      <c r="Q176" s="214"/>
      <c r="R176" s="247"/>
      <c r="S176" s="247"/>
      <c r="T176" s="247"/>
      <c r="U176" s="247"/>
      <c r="V176" s="241">
        <v>2.1</v>
      </c>
    </row>
    <row r="177" spans="10:22" x14ac:dyDescent="0.25">
      <c r="J177" s="240">
        <v>1</v>
      </c>
      <c r="K177" s="214" t="s">
        <v>201</v>
      </c>
      <c r="L177" s="214" t="s">
        <v>219</v>
      </c>
      <c r="M177" s="214" t="s">
        <v>220</v>
      </c>
      <c r="N177" s="214" t="s">
        <v>417</v>
      </c>
      <c r="O177" s="214">
        <v>21</v>
      </c>
      <c r="P177" s="214">
        <v>21</v>
      </c>
      <c r="Q177" s="214">
        <v>21</v>
      </c>
      <c r="R177" s="247">
        <v>0.7</v>
      </c>
      <c r="S177" s="247">
        <v>2.06</v>
      </c>
      <c r="T177" s="247">
        <v>0.31</v>
      </c>
      <c r="U177" s="247">
        <v>0</v>
      </c>
      <c r="V177" s="241">
        <v>2.37</v>
      </c>
    </row>
    <row r="178" spans="10:22" x14ac:dyDescent="0.25">
      <c r="J178" s="240">
        <v>1</v>
      </c>
      <c r="K178" s="214" t="s">
        <v>201</v>
      </c>
      <c r="L178" s="214" t="s">
        <v>219</v>
      </c>
      <c r="M178" s="214" t="s">
        <v>220</v>
      </c>
      <c r="N178" s="214" t="s">
        <v>418</v>
      </c>
      <c r="O178" s="214">
        <v>15</v>
      </c>
      <c r="P178" s="214">
        <v>15</v>
      </c>
      <c r="Q178" s="214">
        <v>15</v>
      </c>
      <c r="R178" s="247">
        <v>0.7</v>
      </c>
      <c r="S178" s="247">
        <v>0.65</v>
      </c>
      <c r="T178" s="247">
        <v>0.55000000000000004</v>
      </c>
      <c r="U178" s="247">
        <v>0.25</v>
      </c>
      <c r="V178" s="241">
        <v>1.4500000000000002</v>
      </c>
    </row>
    <row r="179" spans="10:22" x14ac:dyDescent="0.25">
      <c r="J179" s="240">
        <v>1</v>
      </c>
      <c r="K179" s="214" t="s">
        <v>201</v>
      </c>
      <c r="L179" s="214" t="s">
        <v>219</v>
      </c>
      <c r="M179" s="214" t="s">
        <v>220</v>
      </c>
      <c r="N179" s="214" t="s">
        <v>419</v>
      </c>
      <c r="O179" s="214">
        <v>8</v>
      </c>
      <c r="P179" s="214">
        <v>8</v>
      </c>
      <c r="Q179" s="214">
        <v>8</v>
      </c>
      <c r="R179" s="247">
        <v>0.7</v>
      </c>
      <c r="S179" s="247">
        <v>0.32</v>
      </c>
      <c r="T179" s="247">
        <v>0.88</v>
      </c>
      <c r="U179" s="247">
        <v>0.32</v>
      </c>
      <c r="V179" s="241">
        <v>1.52</v>
      </c>
    </row>
    <row r="180" spans="10:22" x14ac:dyDescent="0.25">
      <c r="J180" s="240">
        <v>1</v>
      </c>
      <c r="K180" s="214" t="s">
        <v>201</v>
      </c>
      <c r="L180" s="214" t="s">
        <v>219</v>
      </c>
      <c r="M180" s="214" t="s">
        <v>220</v>
      </c>
      <c r="N180" s="214" t="s">
        <v>420</v>
      </c>
      <c r="O180" s="214">
        <v>3</v>
      </c>
      <c r="P180" s="214">
        <v>3</v>
      </c>
      <c r="Q180" s="214">
        <v>3</v>
      </c>
      <c r="R180" s="247">
        <v>0.7</v>
      </c>
      <c r="S180" s="247">
        <v>0.8</v>
      </c>
      <c r="T180" s="247">
        <v>0</v>
      </c>
      <c r="U180" s="247">
        <v>0.8</v>
      </c>
      <c r="V180" s="241">
        <v>1.6</v>
      </c>
    </row>
    <row r="181" spans="10:22" x14ac:dyDescent="0.25">
      <c r="J181" s="240">
        <v>1</v>
      </c>
      <c r="K181" s="214" t="s">
        <v>201</v>
      </c>
      <c r="L181" s="214" t="s">
        <v>219</v>
      </c>
      <c r="M181" s="214" t="s">
        <v>220</v>
      </c>
      <c r="N181" s="214" t="s">
        <v>225</v>
      </c>
      <c r="O181" s="214">
        <v>19</v>
      </c>
      <c r="P181" s="214">
        <v>19</v>
      </c>
      <c r="Q181" s="214">
        <v>19</v>
      </c>
      <c r="R181" s="247">
        <v>0.7</v>
      </c>
      <c r="S181" s="247">
        <v>1.5</v>
      </c>
      <c r="T181" s="247">
        <v>0.35</v>
      </c>
      <c r="U181" s="247">
        <v>0.3</v>
      </c>
      <c r="V181" s="241">
        <v>2.15</v>
      </c>
    </row>
    <row r="182" spans="10:22" x14ac:dyDescent="0.25">
      <c r="J182" s="240">
        <v>1</v>
      </c>
      <c r="K182" s="214" t="s">
        <v>201</v>
      </c>
      <c r="L182" s="214" t="s">
        <v>219</v>
      </c>
      <c r="M182" s="214" t="s">
        <v>220</v>
      </c>
      <c r="N182" s="214" t="s">
        <v>421</v>
      </c>
      <c r="O182" s="214">
        <v>9</v>
      </c>
      <c r="P182" s="214">
        <v>9</v>
      </c>
      <c r="Q182" s="214">
        <v>9</v>
      </c>
      <c r="R182" s="247">
        <v>0.7</v>
      </c>
      <c r="S182" s="247">
        <v>1.5</v>
      </c>
      <c r="T182" s="247">
        <v>0.35</v>
      </c>
      <c r="U182" s="247">
        <v>0.1</v>
      </c>
      <c r="V182" s="241">
        <v>1.9500000000000002</v>
      </c>
    </row>
    <row r="183" spans="10:22" x14ac:dyDescent="0.25">
      <c r="J183" s="240">
        <v>1</v>
      </c>
      <c r="K183" s="214" t="s">
        <v>201</v>
      </c>
      <c r="L183" s="214" t="s">
        <v>219</v>
      </c>
      <c r="M183" s="214" t="s">
        <v>220</v>
      </c>
      <c r="N183" s="214" t="s">
        <v>422</v>
      </c>
      <c r="O183" s="214">
        <v>37</v>
      </c>
      <c r="P183" s="214">
        <v>37</v>
      </c>
      <c r="Q183" s="214">
        <v>37</v>
      </c>
      <c r="R183" s="247">
        <v>0.7</v>
      </c>
      <c r="S183" s="247">
        <v>1.9</v>
      </c>
      <c r="T183" s="247">
        <v>1.4</v>
      </c>
      <c r="U183" s="247">
        <v>0.4</v>
      </c>
      <c r="V183" s="241">
        <v>2.9</v>
      </c>
    </row>
    <row r="184" spans="10:22" x14ac:dyDescent="0.25">
      <c r="J184" s="240">
        <v>1</v>
      </c>
      <c r="K184" s="214" t="s">
        <v>201</v>
      </c>
      <c r="L184" s="214" t="s">
        <v>219</v>
      </c>
      <c r="M184" s="214" t="s">
        <v>220</v>
      </c>
      <c r="N184" s="214" t="s">
        <v>423</v>
      </c>
      <c r="O184" s="214">
        <v>14</v>
      </c>
      <c r="P184" s="214">
        <v>14</v>
      </c>
      <c r="Q184" s="214">
        <v>14</v>
      </c>
      <c r="R184" s="247">
        <v>0.7</v>
      </c>
      <c r="S184" s="247">
        <v>0.7</v>
      </c>
      <c r="T184" s="247">
        <v>0.23</v>
      </c>
      <c r="U184" s="247">
        <v>0.2</v>
      </c>
      <c r="V184" s="241">
        <v>1.1299999999999999</v>
      </c>
    </row>
    <row r="185" spans="10:22" x14ac:dyDescent="0.25">
      <c r="J185" s="240">
        <v>1</v>
      </c>
      <c r="K185" s="214" t="s">
        <v>201</v>
      </c>
      <c r="L185" s="214" t="s">
        <v>219</v>
      </c>
      <c r="M185" s="214" t="s">
        <v>220</v>
      </c>
      <c r="N185" s="214" t="s">
        <v>228</v>
      </c>
      <c r="O185" s="214">
        <v>37</v>
      </c>
      <c r="P185" s="214">
        <v>37</v>
      </c>
      <c r="Q185" s="214">
        <v>35</v>
      </c>
      <c r="R185" s="247">
        <v>0.7</v>
      </c>
      <c r="S185" s="247">
        <v>1.48</v>
      </c>
      <c r="T185" s="247">
        <v>0.75</v>
      </c>
      <c r="U185" s="247">
        <v>0.81</v>
      </c>
      <c r="V185" s="241">
        <v>3.7</v>
      </c>
    </row>
    <row r="186" spans="10:22" x14ac:dyDescent="0.25">
      <c r="J186" s="240">
        <v>1</v>
      </c>
      <c r="K186" s="214" t="s">
        <v>201</v>
      </c>
      <c r="L186" s="214" t="s">
        <v>219</v>
      </c>
      <c r="M186" s="214" t="s">
        <v>220</v>
      </c>
      <c r="N186" s="214" t="s">
        <v>424</v>
      </c>
      <c r="O186" s="214">
        <v>14</v>
      </c>
      <c r="P186" s="214">
        <v>14</v>
      </c>
      <c r="Q186" s="214">
        <v>14</v>
      </c>
      <c r="R186" s="247">
        <v>0.7</v>
      </c>
      <c r="S186" s="247">
        <v>1.8</v>
      </c>
      <c r="T186" s="247">
        <v>0.35</v>
      </c>
      <c r="U186" s="247">
        <v>0.1</v>
      </c>
      <c r="V186" s="241">
        <v>2.25</v>
      </c>
    </row>
    <row r="187" spans="10:22" x14ac:dyDescent="0.25">
      <c r="J187" s="238">
        <v>1</v>
      </c>
      <c r="K187" s="214" t="s">
        <v>201</v>
      </c>
      <c r="L187" s="214" t="s">
        <v>219</v>
      </c>
      <c r="M187" s="214" t="s">
        <v>220</v>
      </c>
      <c r="N187" s="214" t="s">
        <v>425</v>
      </c>
      <c r="O187" s="214">
        <v>14</v>
      </c>
      <c r="P187" s="214">
        <v>14</v>
      </c>
      <c r="Q187" s="214">
        <v>14</v>
      </c>
      <c r="R187" s="247">
        <v>0.7</v>
      </c>
      <c r="S187" s="247">
        <v>1.77</v>
      </c>
      <c r="T187" s="247">
        <v>0.75</v>
      </c>
      <c r="U187" s="247">
        <v>0.4</v>
      </c>
      <c r="V187" s="241">
        <v>2.92</v>
      </c>
    </row>
    <row r="188" spans="10:22" x14ac:dyDescent="0.25">
      <c r="J188" s="238">
        <v>1</v>
      </c>
      <c r="K188" s="214" t="s">
        <v>201</v>
      </c>
      <c r="L188" s="214" t="s">
        <v>219</v>
      </c>
      <c r="M188" s="214" t="s">
        <v>220</v>
      </c>
      <c r="N188" s="214" t="s">
        <v>426</v>
      </c>
      <c r="O188" s="214">
        <v>9</v>
      </c>
      <c r="P188" s="214">
        <v>9</v>
      </c>
      <c r="Q188" s="214"/>
      <c r="R188" s="247"/>
      <c r="S188" s="247"/>
      <c r="T188" s="247"/>
      <c r="U188" s="247"/>
      <c r="V188" s="241">
        <v>1.1299999999999999</v>
      </c>
    </row>
    <row r="189" spans="10:22" x14ac:dyDescent="0.25">
      <c r="J189" s="238">
        <v>1</v>
      </c>
      <c r="K189" s="214" t="s">
        <v>201</v>
      </c>
      <c r="L189" s="214" t="s">
        <v>219</v>
      </c>
      <c r="M189" s="214" t="s">
        <v>427</v>
      </c>
      <c r="N189" s="214" t="s">
        <v>406</v>
      </c>
      <c r="O189" s="214">
        <v>14</v>
      </c>
      <c r="P189" s="214">
        <v>14</v>
      </c>
      <c r="Q189" s="214"/>
      <c r="R189" s="247"/>
      <c r="S189" s="247"/>
      <c r="T189" s="247"/>
      <c r="U189" s="247"/>
      <c r="V189" s="241">
        <v>2.63</v>
      </c>
    </row>
    <row r="190" spans="10:22" x14ac:dyDescent="0.25">
      <c r="J190" s="238">
        <v>1</v>
      </c>
      <c r="K190" s="214" t="s">
        <v>201</v>
      </c>
      <c r="L190" s="214" t="s">
        <v>219</v>
      </c>
      <c r="M190" s="214" t="s">
        <v>405</v>
      </c>
      <c r="N190" s="214" t="s">
        <v>428</v>
      </c>
      <c r="O190" s="214">
        <v>21</v>
      </c>
      <c r="P190" s="214">
        <v>21</v>
      </c>
      <c r="Q190" s="214"/>
      <c r="R190" s="247"/>
      <c r="S190" s="247"/>
      <c r="T190" s="247"/>
      <c r="U190" s="247"/>
      <c r="V190" s="241">
        <v>2.15</v>
      </c>
    </row>
    <row r="191" spans="10:22" x14ac:dyDescent="0.25">
      <c r="J191" s="238">
        <v>1</v>
      </c>
      <c r="K191" s="214" t="s">
        <v>201</v>
      </c>
      <c r="L191" s="214" t="s">
        <v>219</v>
      </c>
      <c r="M191" s="214" t="s">
        <v>429</v>
      </c>
      <c r="N191" s="214" t="s">
        <v>430</v>
      </c>
      <c r="O191" s="214">
        <v>48</v>
      </c>
      <c r="P191" s="214">
        <v>48</v>
      </c>
      <c r="Q191" s="214">
        <v>0</v>
      </c>
      <c r="R191" s="247">
        <v>0.7</v>
      </c>
      <c r="S191" s="247">
        <v>1.4</v>
      </c>
      <c r="T191" s="247">
        <v>1.85</v>
      </c>
      <c r="U191" s="247">
        <v>0.25</v>
      </c>
      <c r="V191" s="241">
        <v>3.5</v>
      </c>
    </row>
    <row r="192" spans="10:22" x14ac:dyDescent="0.25">
      <c r="J192" s="238">
        <v>1</v>
      </c>
      <c r="K192" s="214" t="s">
        <v>201</v>
      </c>
      <c r="L192" s="214" t="s">
        <v>219</v>
      </c>
      <c r="M192" s="214" t="s">
        <v>429</v>
      </c>
      <c r="N192" s="214" t="s">
        <v>431</v>
      </c>
      <c r="O192" s="214">
        <v>21</v>
      </c>
      <c r="P192" s="214">
        <v>21</v>
      </c>
      <c r="Q192" s="214">
        <v>21</v>
      </c>
      <c r="R192" s="247">
        <v>0.7</v>
      </c>
      <c r="S192" s="247">
        <v>1.95</v>
      </c>
      <c r="T192" s="247">
        <v>0.35</v>
      </c>
      <c r="U192" s="247">
        <v>0.15</v>
      </c>
      <c r="V192" s="241">
        <v>2.4499999999999997</v>
      </c>
    </row>
    <row r="193" spans="10:22" x14ac:dyDescent="0.25">
      <c r="J193" s="238">
        <v>1</v>
      </c>
      <c r="K193" s="214" t="s">
        <v>201</v>
      </c>
      <c r="L193" s="214" t="s">
        <v>219</v>
      </c>
      <c r="M193" s="214" t="s">
        <v>429</v>
      </c>
      <c r="N193" s="214" t="s">
        <v>432</v>
      </c>
      <c r="O193" s="214">
        <v>6</v>
      </c>
      <c r="P193" s="214">
        <v>6</v>
      </c>
      <c r="Q193" s="214">
        <v>6</v>
      </c>
      <c r="R193" s="247">
        <v>0.7</v>
      </c>
      <c r="S193" s="247">
        <v>0.53</v>
      </c>
      <c r="T193" s="247">
        <v>0</v>
      </c>
      <c r="U193" s="247">
        <v>0</v>
      </c>
      <c r="V193" s="241">
        <v>0.53</v>
      </c>
    </row>
    <row r="194" spans="10:22" x14ac:dyDescent="0.25">
      <c r="J194" s="238">
        <v>1</v>
      </c>
      <c r="K194" s="214" t="s">
        <v>201</v>
      </c>
      <c r="L194" s="214" t="s">
        <v>219</v>
      </c>
      <c r="M194" s="214" t="s">
        <v>429</v>
      </c>
      <c r="N194" s="214" t="s">
        <v>433</v>
      </c>
      <c r="O194" s="214">
        <v>11</v>
      </c>
      <c r="P194" s="214">
        <v>11</v>
      </c>
      <c r="Q194" s="214"/>
      <c r="R194" s="247"/>
      <c r="S194" s="247"/>
      <c r="T194" s="247"/>
      <c r="U194" s="247"/>
      <c r="V194" s="241">
        <v>1.5</v>
      </c>
    </row>
    <row r="195" spans="10:22" x14ac:dyDescent="0.25">
      <c r="J195" s="238">
        <v>1</v>
      </c>
      <c r="K195" s="214" t="s">
        <v>201</v>
      </c>
      <c r="L195" s="214" t="s">
        <v>219</v>
      </c>
      <c r="M195" s="214" t="s">
        <v>429</v>
      </c>
      <c r="N195" s="214" t="s">
        <v>434</v>
      </c>
      <c r="O195" s="214">
        <v>9</v>
      </c>
      <c r="P195" s="214">
        <v>9</v>
      </c>
      <c r="Q195" s="214"/>
      <c r="R195" s="247"/>
      <c r="S195" s="247"/>
      <c r="T195" s="247"/>
      <c r="U195" s="247"/>
      <c r="V195" s="241">
        <v>1.1000000000000001</v>
      </c>
    </row>
    <row r="196" spans="10:22" x14ac:dyDescent="0.25">
      <c r="J196" s="238">
        <v>1</v>
      </c>
      <c r="K196" s="214" t="s">
        <v>201</v>
      </c>
      <c r="L196" s="214" t="s">
        <v>219</v>
      </c>
      <c r="M196" s="214" t="s">
        <v>429</v>
      </c>
      <c r="N196" s="214" t="s">
        <v>435</v>
      </c>
      <c r="O196" s="214">
        <v>28</v>
      </c>
      <c r="P196" s="214">
        <v>28</v>
      </c>
      <c r="Q196" s="214"/>
      <c r="R196" s="247"/>
      <c r="S196" s="247"/>
      <c r="T196" s="247"/>
      <c r="U196" s="247"/>
      <c r="V196" s="241">
        <v>0.8</v>
      </c>
    </row>
    <row r="197" spans="10:22" x14ac:dyDescent="0.25">
      <c r="J197" s="238">
        <v>1</v>
      </c>
      <c r="K197" s="214" t="s">
        <v>201</v>
      </c>
      <c r="L197" s="214" t="s">
        <v>219</v>
      </c>
      <c r="M197" s="214" t="s">
        <v>436</v>
      </c>
      <c r="N197" s="214" t="s">
        <v>437</v>
      </c>
      <c r="O197" s="214">
        <v>24</v>
      </c>
      <c r="P197" s="214">
        <v>24</v>
      </c>
      <c r="Q197" s="214"/>
      <c r="R197" s="247"/>
      <c r="S197" s="247"/>
      <c r="T197" s="247"/>
      <c r="U197" s="247"/>
      <c r="V197" s="241">
        <v>3.05</v>
      </c>
    </row>
    <row r="198" spans="10:22" x14ac:dyDescent="0.25">
      <c r="J198" s="238">
        <v>1</v>
      </c>
      <c r="K198" s="214" t="s">
        <v>201</v>
      </c>
      <c r="L198" s="214" t="s">
        <v>219</v>
      </c>
      <c r="M198" s="214" t="s">
        <v>436</v>
      </c>
      <c r="N198" s="214" t="s">
        <v>438</v>
      </c>
      <c r="O198" s="214">
        <v>37</v>
      </c>
      <c r="P198" s="214">
        <v>37</v>
      </c>
      <c r="Q198" s="214"/>
      <c r="R198" s="247"/>
      <c r="S198" s="247"/>
      <c r="T198" s="247"/>
      <c r="U198" s="247"/>
      <c r="V198" s="241">
        <v>5.7</v>
      </c>
    </row>
    <row r="199" spans="10:22" x14ac:dyDescent="0.25">
      <c r="J199" s="238">
        <v>1</v>
      </c>
      <c r="K199" s="214" t="s">
        <v>201</v>
      </c>
      <c r="L199" s="214" t="s">
        <v>219</v>
      </c>
      <c r="M199" s="214" t="s">
        <v>436</v>
      </c>
      <c r="N199" s="214" t="s">
        <v>439</v>
      </c>
      <c r="O199" s="214">
        <v>11</v>
      </c>
      <c r="P199" s="214">
        <v>11</v>
      </c>
      <c r="Q199" s="214"/>
      <c r="R199" s="247"/>
      <c r="S199" s="247"/>
      <c r="T199" s="247"/>
      <c r="U199" s="247"/>
      <c r="V199" s="241">
        <v>0.7</v>
      </c>
    </row>
    <row r="200" spans="10:22" x14ac:dyDescent="0.25">
      <c r="J200" s="238">
        <v>1</v>
      </c>
      <c r="K200" s="214" t="s">
        <v>201</v>
      </c>
      <c r="L200" s="214" t="s">
        <v>219</v>
      </c>
      <c r="M200" s="214" t="s">
        <v>436</v>
      </c>
      <c r="N200" s="214" t="s">
        <v>440</v>
      </c>
      <c r="O200" s="214">
        <v>8</v>
      </c>
      <c r="P200" s="214">
        <v>8</v>
      </c>
      <c r="Q200" s="214"/>
      <c r="R200" s="247"/>
      <c r="S200" s="247"/>
      <c r="T200" s="247"/>
      <c r="U200" s="247"/>
      <c r="V200" s="241">
        <v>0.8</v>
      </c>
    </row>
    <row r="201" spans="10:22" x14ac:dyDescent="0.25">
      <c r="J201" s="238">
        <v>1</v>
      </c>
      <c r="K201" s="214" t="s">
        <v>201</v>
      </c>
      <c r="L201" s="214" t="s">
        <v>219</v>
      </c>
      <c r="M201" s="214" t="s">
        <v>441</v>
      </c>
      <c r="N201" s="214" t="s">
        <v>442</v>
      </c>
      <c r="O201" s="214">
        <v>8</v>
      </c>
      <c r="P201" s="214">
        <v>8</v>
      </c>
      <c r="Q201" s="214"/>
      <c r="R201" s="247"/>
      <c r="S201" s="247"/>
      <c r="T201" s="247"/>
      <c r="U201" s="247"/>
      <c r="V201" s="241">
        <v>0.65</v>
      </c>
    </row>
    <row r="202" spans="10:22" x14ac:dyDescent="0.25">
      <c r="J202" s="238">
        <v>1</v>
      </c>
      <c r="K202" s="214" t="s">
        <v>201</v>
      </c>
      <c r="L202" s="214" t="s">
        <v>219</v>
      </c>
      <c r="M202" s="214" t="s">
        <v>441</v>
      </c>
      <c r="N202" s="214" t="s">
        <v>443</v>
      </c>
      <c r="O202" s="214">
        <v>7</v>
      </c>
      <c r="P202" s="214">
        <v>7</v>
      </c>
      <c r="Q202" s="214"/>
      <c r="R202" s="247"/>
      <c r="S202" s="247"/>
      <c r="T202" s="247"/>
      <c r="U202" s="247"/>
      <c r="V202" s="241">
        <v>0.25</v>
      </c>
    </row>
    <row r="203" spans="10:22" x14ac:dyDescent="0.25">
      <c r="J203" s="238">
        <v>1</v>
      </c>
      <c r="K203" s="214" t="s">
        <v>201</v>
      </c>
      <c r="L203" s="214" t="s">
        <v>219</v>
      </c>
      <c r="M203" s="214" t="s">
        <v>441</v>
      </c>
      <c r="N203" s="214" t="s">
        <v>444</v>
      </c>
      <c r="O203" s="214">
        <v>21</v>
      </c>
      <c r="P203" s="214">
        <v>21</v>
      </c>
      <c r="Q203" s="214"/>
      <c r="R203" s="247"/>
      <c r="S203" s="247"/>
      <c r="T203" s="247"/>
      <c r="U203" s="247"/>
      <c r="V203" s="241">
        <v>0.2</v>
      </c>
    </row>
    <row r="204" spans="10:22" x14ac:dyDescent="0.25">
      <c r="J204" s="238">
        <v>1</v>
      </c>
      <c r="K204" s="214" t="s">
        <v>201</v>
      </c>
      <c r="L204" s="214" t="s">
        <v>219</v>
      </c>
      <c r="M204" s="214" t="s">
        <v>441</v>
      </c>
      <c r="N204" s="214" t="s">
        <v>445</v>
      </c>
      <c r="O204" s="214">
        <v>7</v>
      </c>
      <c r="P204" s="214">
        <v>7</v>
      </c>
      <c r="Q204" s="214"/>
      <c r="R204" s="247"/>
      <c r="S204" s="247"/>
      <c r="T204" s="247"/>
      <c r="U204" s="247"/>
      <c r="V204" s="241">
        <v>0.5</v>
      </c>
    </row>
    <row r="205" spans="10:22" x14ac:dyDescent="0.25">
      <c r="J205" s="238">
        <v>1</v>
      </c>
      <c r="K205" s="214" t="s">
        <v>201</v>
      </c>
      <c r="L205" s="214" t="s">
        <v>219</v>
      </c>
      <c r="M205" s="214" t="s">
        <v>441</v>
      </c>
      <c r="N205" s="214" t="s">
        <v>446</v>
      </c>
      <c r="O205" s="214">
        <v>6</v>
      </c>
      <c r="P205" s="214">
        <v>6</v>
      </c>
      <c r="Q205" s="214"/>
      <c r="R205" s="247"/>
      <c r="S205" s="247"/>
      <c r="T205" s="247"/>
      <c r="U205" s="247"/>
      <c r="V205" s="241">
        <v>0.3</v>
      </c>
    </row>
    <row r="206" spans="10:22" x14ac:dyDescent="0.25">
      <c r="J206" s="238">
        <v>1</v>
      </c>
      <c r="K206" s="214" t="s">
        <v>201</v>
      </c>
      <c r="L206" s="214" t="s">
        <v>219</v>
      </c>
      <c r="M206" s="214" t="s">
        <v>441</v>
      </c>
      <c r="N206" s="214" t="s">
        <v>414</v>
      </c>
      <c r="O206" s="214">
        <v>16</v>
      </c>
      <c r="P206" s="214">
        <v>16</v>
      </c>
      <c r="Q206" s="214"/>
      <c r="R206" s="247"/>
      <c r="S206" s="247"/>
      <c r="T206" s="247"/>
      <c r="U206" s="247"/>
      <c r="V206" s="241">
        <v>2.61</v>
      </c>
    </row>
    <row r="207" spans="10:22" x14ac:dyDescent="0.25">
      <c r="J207" s="238">
        <v>1</v>
      </c>
      <c r="K207" s="214" t="s">
        <v>201</v>
      </c>
      <c r="L207" s="214" t="s">
        <v>447</v>
      </c>
      <c r="M207" s="214" t="s">
        <v>448</v>
      </c>
      <c r="N207" s="214" t="s">
        <v>449</v>
      </c>
      <c r="O207" s="214">
        <v>13</v>
      </c>
      <c r="P207" s="214">
        <v>13</v>
      </c>
      <c r="Q207" s="214"/>
      <c r="R207" s="247"/>
      <c r="S207" s="247"/>
      <c r="T207" s="247"/>
      <c r="U207" s="247"/>
      <c r="V207" s="241">
        <v>1.35</v>
      </c>
    </row>
    <row r="208" spans="10:22" x14ac:dyDescent="0.25">
      <c r="J208" s="240">
        <v>1</v>
      </c>
      <c r="K208" s="214" t="s">
        <v>201</v>
      </c>
      <c r="L208" s="214" t="s">
        <v>450</v>
      </c>
      <c r="M208" s="214" t="s">
        <v>451</v>
      </c>
      <c r="N208" s="214" t="s">
        <v>452</v>
      </c>
      <c r="O208" s="214">
        <v>28</v>
      </c>
      <c r="P208" s="214">
        <v>28</v>
      </c>
      <c r="Q208" s="214">
        <v>22</v>
      </c>
      <c r="R208" s="247">
        <v>1.1000000000000001</v>
      </c>
      <c r="S208" s="247">
        <v>4.1500000000000004</v>
      </c>
      <c r="T208" s="247">
        <v>1.4</v>
      </c>
      <c r="U208" s="247">
        <v>0.5</v>
      </c>
      <c r="V208" s="241">
        <v>3.45</v>
      </c>
    </row>
    <row r="209" spans="10:22" x14ac:dyDescent="0.25">
      <c r="J209" s="240">
        <v>1</v>
      </c>
      <c r="K209" s="214" t="s">
        <v>201</v>
      </c>
      <c r="L209" s="214" t="s">
        <v>450</v>
      </c>
      <c r="M209" s="214" t="s">
        <v>453</v>
      </c>
      <c r="N209" s="214" t="s">
        <v>454</v>
      </c>
      <c r="O209" s="214">
        <v>12</v>
      </c>
      <c r="P209" s="214">
        <v>12</v>
      </c>
      <c r="Q209" s="214"/>
      <c r="R209" s="247"/>
      <c r="S209" s="247"/>
      <c r="T209" s="247"/>
      <c r="U209" s="247"/>
      <c r="V209" s="241">
        <v>0.64</v>
      </c>
    </row>
    <row r="210" spans="10:22" x14ac:dyDescent="0.25">
      <c r="J210" s="238">
        <v>1</v>
      </c>
      <c r="K210" s="214" t="s">
        <v>201</v>
      </c>
      <c r="L210" s="214" t="s">
        <v>450</v>
      </c>
      <c r="M210" s="214" t="s">
        <v>434</v>
      </c>
      <c r="N210" s="214" t="s">
        <v>455</v>
      </c>
      <c r="O210" s="214">
        <v>15</v>
      </c>
      <c r="P210" s="214">
        <v>15</v>
      </c>
      <c r="Q210" s="214"/>
      <c r="R210" s="247"/>
      <c r="S210" s="247"/>
      <c r="T210" s="247"/>
      <c r="U210" s="247"/>
      <c r="V210" s="241">
        <v>0.6</v>
      </c>
    </row>
    <row r="211" spans="10:22" x14ac:dyDescent="0.25">
      <c r="J211" s="238">
        <v>1</v>
      </c>
      <c r="K211" s="214" t="s">
        <v>201</v>
      </c>
      <c r="L211" s="214" t="s">
        <v>450</v>
      </c>
      <c r="M211" s="214" t="s">
        <v>456</v>
      </c>
      <c r="N211" s="214" t="s">
        <v>457</v>
      </c>
      <c r="O211" s="214">
        <v>3</v>
      </c>
      <c r="P211" s="214">
        <v>3</v>
      </c>
      <c r="Q211" s="214"/>
      <c r="R211" s="247"/>
      <c r="S211" s="247"/>
      <c r="T211" s="247"/>
      <c r="U211" s="247"/>
      <c r="V211" s="241">
        <v>0.38</v>
      </c>
    </row>
    <row r="212" spans="10:22" x14ac:dyDescent="0.25">
      <c r="J212" s="238">
        <v>1</v>
      </c>
      <c r="K212" s="214" t="s">
        <v>201</v>
      </c>
      <c r="L212" s="214" t="s">
        <v>450</v>
      </c>
      <c r="M212" s="214" t="s">
        <v>458</v>
      </c>
      <c r="N212" s="214" t="s">
        <v>459</v>
      </c>
      <c r="O212" s="214">
        <v>42</v>
      </c>
      <c r="P212" s="214">
        <v>42</v>
      </c>
      <c r="Q212" s="214"/>
      <c r="R212" s="247"/>
      <c r="S212" s="247"/>
      <c r="T212" s="247"/>
      <c r="U212" s="247"/>
      <c r="V212" s="241">
        <v>4.0999999999999996</v>
      </c>
    </row>
    <row r="213" spans="10:22" x14ac:dyDescent="0.25">
      <c r="J213" s="238">
        <v>1</v>
      </c>
      <c r="K213" s="214" t="s">
        <v>201</v>
      </c>
      <c r="L213" s="214" t="s">
        <v>450</v>
      </c>
      <c r="M213" s="214" t="s">
        <v>458</v>
      </c>
      <c r="N213" s="214" t="s">
        <v>460</v>
      </c>
      <c r="O213" s="214">
        <v>5</v>
      </c>
      <c r="P213" s="214">
        <v>5</v>
      </c>
      <c r="Q213" s="214"/>
      <c r="R213" s="247"/>
      <c r="S213" s="247"/>
      <c r="T213" s="247"/>
      <c r="U213" s="247"/>
      <c r="V213" s="241">
        <v>0.4</v>
      </c>
    </row>
    <row r="214" spans="10:22" x14ac:dyDescent="0.25">
      <c r="J214" s="238">
        <v>1</v>
      </c>
      <c r="K214" s="214" t="s">
        <v>201</v>
      </c>
      <c r="L214" s="214" t="s">
        <v>450</v>
      </c>
      <c r="M214" s="214" t="s">
        <v>461</v>
      </c>
      <c r="N214" s="214" t="s">
        <v>462</v>
      </c>
      <c r="O214" s="214">
        <v>9</v>
      </c>
      <c r="P214" s="214">
        <v>9</v>
      </c>
      <c r="Q214" s="214"/>
      <c r="R214" s="247"/>
      <c r="S214" s="247"/>
      <c r="T214" s="247"/>
      <c r="U214" s="247"/>
      <c r="V214" s="241">
        <v>0.69</v>
      </c>
    </row>
    <row r="215" spans="10:22" x14ac:dyDescent="0.25">
      <c r="J215" s="238">
        <v>1</v>
      </c>
      <c r="K215" s="214" t="s">
        <v>201</v>
      </c>
      <c r="L215" s="214" t="s">
        <v>450</v>
      </c>
      <c r="M215" s="214" t="s">
        <v>463</v>
      </c>
      <c r="N215" s="214" t="s">
        <v>464</v>
      </c>
      <c r="O215" s="214">
        <v>7</v>
      </c>
      <c r="P215" s="214">
        <v>7</v>
      </c>
      <c r="Q215" s="214"/>
      <c r="R215" s="247"/>
      <c r="S215" s="247"/>
      <c r="T215" s="247"/>
      <c r="U215" s="247"/>
      <c r="V215" s="241">
        <v>0.1</v>
      </c>
    </row>
    <row r="216" spans="10:22" x14ac:dyDescent="0.25">
      <c r="J216" s="236">
        <f>SUM(J52:J215)</f>
        <v>164</v>
      </c>
      <c r="K216" s="281" t="s">
        <v>27</v>
      </c>
      <c r="L216" s="281"/>
      <c r="M216" s="281"/>
      <c r="N216" s="281"/>
      <c r="O216" s="235">
        <f t="shared" ref="O216:V216" si="2">SUM(O52:O215)</f>
        <v>2756</v>
      </c>
      <c r="P216" s="235">
        <f t="shared" si="2"/>
        <v>2756</v>
      </c>
      <c r="Q216" s="235">
        <f t="shared" si="2"/>
        <v>1158</v>
      </c>
      <c r="R216" s="234">
        <f t="shared" si="2"/>
        <v>72.577000000000083</v>
      </c>
      <c r="S216" s="234">
        <f t="shared" si="2"/>
        <v>104.16200000000001</v>
      </c>
      <c r="T216" s="234">
        <f t="shared" si="2"/>
        <v>36.878000000000014</v>
      </c>
      <c r="U216" s="234">
        <f t="shared" si="2"/>
        <v>26.159000000000002</v>
      </c>
      <c r="V216" s="237">
        <f t="shared" si="2"/>
        <v>292.96600000000001</v>
      </c>
    </row>
    <row r="217" spans="10:22" x14ac:dyDescent="0.25">
      <c r="J217" s="240">
        <v>1</v>
      </c>
      <c r="K217" s="216" t="s">
        <v>465</v>
      </c>
      <c r="L217" s="217" t="s">
        <v>466</v>
      </c>
      <c r="M217" s="218" t="s">
        <v>467</v>
      </c>
      <c r="N217" s="219" t="s">
        <v>467</v>
      </c>
      <c r="O217" s="220">
        <v>250</v>
      </c>
      <c r="P217" s="220">
        <v>250</v>
      </c>
      <c r="Q217" s="220">
        <v>208</v>
      </c>
      <c r="R217" s="248">
        <v>5.48</v>
      </c>
      <c r="S217" s="248">
        <v>8</v>
      </c>
      <c r="T217" s="248">
        <v>1.65</v>
      </c>
      <c r="U217" s="248">
        <v>0.7</v>
      </c>
      <c r="V217" s="241">
        <v>10.35</v>
      </c>
    </row>
    <row r="218" spans="10:22" x14ac:dyDescent="0.25">
      <c r="J218" s="236">
        <f>SUM(J217:J217)</f>
        <v>1</v>
      </c>
      <c r="K218" s="281" t="s">
        <v>27</v>
      </c>
      <c r="L218" s="281"/>
      <c r="M218" s="281"/>
      <c r="N218" s="281"/>
      <c r="O218" s="231">
        <f t="shared" ref="O218:V218" si="3">SUM(O217:O217)</f>
        <v>250</v>
      </c>
      <c r="P218" s="231">
        <f t="shared" si="3"/>
        <v>250</v>
      </c>
      <c r="Q218" s="231">
        <f t="shared" si="3"/>
        <v>208</v>
      </c>
      <c r="R218" s="234">
        <f t="shared" si="3"/>
        <v>5.48</v>
      </c>
      <c r="S218" s="234">
        <f t="shared" si="3"/>
        <v>8</v>
      </c>
      <c r="T218" s="234">
        <f t="shared" si="3"/>
        <v>1.65</v>
      </c>
      <c r="U218" s="234">
        <f t="shared" si="3"/>
        <v>0.7</v>
      </c>
      <c r="V218" s="237">
        <f t="shared" si="3"/>
        <v>10.35</v>
      </c>
    </row>
    <row r="219" spans="10:22" ht="13.5" thickBot="1" x14ac:dyDescent="0.25">
      <c r="J219" s="242">
        <f>J51+J216+J218</f>
        <v>175</v>
      </c>
      <c r="K219" s="282" t="s">
        <v>468</v>
      </c>
      <c r="L219" s="282"/>
      <c r="M219" s="282"/>
      <c r="N219" s="282"/>
      <c r="O219" s="243">
        <f>O51+O216+O218</f>
        <v>3614</v>
      </c>
      <c r="P219" s="243">
        <f t="shared" ref="P219:V219" si="4">P51+P216+P218</f>
        <v>3614</v>
      </c>
      <c r="Q219" s="243">
        <f t="shared" si="4"/>
        <v>1848</v>
      </c>
      <c r="R219" s="243">
        <f t="shared" si="4"/>
        <v>97.857000000000085</v>
      </c>
      <c r="S219" s="243">
        <f t="shared" si="4"/>
        <v>148.38200000000001</v>
      </c>
      <c r="T219" s="243">
        <f t="shared" si="4"/>
        <v>47.308000000000014</v>
      </c>
      <c r="U219" s="243">
        <f t="shared" si="4"/>
        <v>29.799000000000003</v>
      </c>
      <c r="V219" s="244">
        <f t="shared" si="4"/>
        <v>351.25600000000003</v>
      </c>
    </row>
  </sheetData>
  <sheetProtection password="CCC5" sheet="1" objects="1" scenarios="1"/>
  <mergeCells count="32">
    <mergeCell ref="B7:C8"/>
    <mergeCell ref="B18:C19"/>
    <mergeCell ref="B29:C30"/>
    <mergeCell ref="B31:C31"/>
    <mergeCell ref="J39:V39"/>
    <mergeCell ref="B25:H25"/>
    <mergeCell ref="K27:P27"/>
    <mergeCell ref="O28:O29"/>
    <mergeCell ref="P28:P29"/>
    <mergeCell ref="K7:P7"/>
    <mergeCell ref="K8:K9"/>
    <mergeCell ref="L8:L9"/>
    <mergeCell ref="M8:M9"/>
    <mergeCell ref="N8:N9"/>
    <mergeCell ref="O8:O9"/>
    <mergeCell ref="P8:P9"/>
    <mergeCell ref="K51:N51"/>
    <mergeCell ref="K216:N216"/>
    <mergeCell ref="K218:N218"/>
    <mergeCell ref="K219:N219"/>
    <mergeCell ref="B28:H28"/>
    <mergeCell ref="K28:K29"/>
    <mergeCell ref="L28:L29"/>
    <mergeCell ref="M28:M29"/>
    <mergeCell ref="N28:N29"/>
    <mergeCell ref="K15:P15"/>
    <mergeCell ref="K16:K17"/>
    <mergeCell ref="L16:L17"/>
    <mergeCell ref="M16:M17"/>
    <mergeCell ref="N16:N17"/>
    <mergeCell ref="O16:O17"/>
    <mergeCell ref="P16:P17"/>
  </mergeCells>
  <phoneticPr fontId="3" type="noConversion"/>
  <conditionalFormatting sqref="K10:L10">
    <cfRule type="expression" dxfId="4" priority="7" stopIfTrue="1">
      <formula>($AV13=1)</formula>
    </cfRule>
  </conditionalFormatting>
  <conditionalFormatting sqref="K11:M11 K30:P35 K62:O64">
    <cfRule type="expression" dxfId="3" priority="15" stopIfTrue="1">
      <formula>($AV14=1)</formula>
    </cfRule>
  </conditionalFormatting>
  <conditionalFormatting sqref="K18:P19">
    <cfRule type="expression" dxfId="2" priority="6" stopIfTrue="1">
      <formula>($AV22=1)</formula>
    </cfRule>
  </conditionalFormatting>
  <conditionalFormatting sqref="K20:P23">
    <cfRule type="expression" dxfId="1" priority="5" stopIfTrue="1">
      <formula>($AV23=1)</formula>
    </cfRule>
  </conditionalFormatting>
  <conditionalFormatting sqref="K36:P36 K41:O50 K52:O61">
    <cfRule type="expression" dxfId="0" priority="17" stopIfTrue="1">
      <formula>($AT39=1)</formula>
    </cfRule>
  </conditionalFormatting>
  <pageMargins left="0.74803149606299213" right="0.74803149606299213" top="0.74803149606299213" bottom="0.47244094488188981" header="0.39370078740157483" footer="0"/>
  <pageSetup scale="60" fitToWidth="5" orientation="landscape" r:id="rId1"/>
  <headerFooter alignWithMargins="0">
    <oddHeader>&amp;R&amp;"Calibri,Normal"&amp;12Anexo D de la Resolución AN No.7655-Elec de 25 de julio de 2014</oddHeader>
    <oddFooter>&amp;C&amp;A</oddFooter>
  </headerFooter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">
    <pageSetUpPr fitToPage="1"/>
  </sheetPr>
  <dimension ref="B2:L21"/>
  <sheetViews>
    <sheetView zoomScaleNormal="100" workbookViewId="0">
      <selection activeCell="B38" sqref="B38"/>
    </sheetView>
  </sheetViews>
  <sheetFormatPr baseColWidth="10" defaultRowHeight="12.75" x14ac:dyDescent="0.2"/>
  <cols>
    <col min="1" max="1" width="1.7109375" style="36" customWidth="1"/>
    <col min="2" max="2" width="43.7109375" style="36" customWidth="1"/>
    <col min="3" max="3" width="10.28515625" style="36" customWidth="1"/>
    <col min="4" max="4" width="16" style="36" customWidth="1"/>
    <col min="5" max="5" width="14.5703125" style="36" customWidth="1"/>
    <col min="6" max="8" width="15.7109375" style="36" customWidth="1"/>
    <col min="9" max="10" width="15.7109375" style="36" bestFit="1" customWidth="1"/>
    <col min="11" max="16384" width="11.42578125" style="36"/>
  </cols>
  <sheetData>
    <row r="2" spans="2:10" ht="18.75" x14ac:dyDescent="0.3">
      <c r="B2" s="35" t="s">
        <v>65</v>
      </c>
    </row>
    <row r="4" spans="2:10" ht="15.75" x14ac:dyDescent="0.25">
      <c r="B4" s="38" t="s">
        <v>21</v>
      </c>
    </row>
    <row r="5" spans="2:10" ht="15.75" x14ac:dyDescent="0.25">
      <c r="B5" s="55" t="s">
        <v>115</v>
      </c>
    </row>
    <row r="7" spans="2:10" ht="25.5" customHeight="1" x14ac:dyDescent="0.2">
      <c r="B7" s="269" t="s">
        <v>57</v>
      </c>
      <c r="C7" s="269"/>
      <c r="D7" s="185" t="s">
        <v>100</v>
      </c>
      <c r="E7" s="186" t="s">
        <v>72</v>
      </c>
      <c r="F7" s="185" t="s">
        <v>70</v>
      </c>
      <c r="G7" s="187" t="s">
        <v>171</v>
      </c>
      <c r="H7" s="187" t="s">
        <v>172</v>
      </c>
      <c r="I7" s="187" t="s">
        <v>173</v>
      </c>
      <c r="J7" s="187" t="s">
        <v>174</v>
      </c>
    </row>
    <row r="8" spans="2:10" x14ac:dyDescent="0.2">
      <c r="B8" s="269"/>
      <c r="C8" s="269"/>
      <c r="D8" s="56" t="s">
        <v>118</v>
      </c>
      <c r="E8" s="56" t="s">
        <v>73</v>
      </c>
      <c r="F8" s="56" t="s">
        <v>118</v>
      </c>
      <c r="G8" s="57" t="s">
        <v>118</v>
      </c>
      <c r="H8" s="57" t="s">
        <v>118</v>
      </c>
      <c r="I8" s="57" t="s">
        <v>118</v>
      </c>
      <c r="J8" s="57" t="s">
        <v>118</v>
      </c>
    </row>
    <row r="9" spans="2:10" x14ac:dyDescent="0.2">
      <c r="B9" s="58"/>
      <c r="C9" s="58"/>
      <c r="D9" s="59"/>
      <c r="E9" s="59"/>
      <c r="F9" s="59"/>
      <c r="G9" s="60"/>
      <c r="H9" s="60"/>
      <c r="I9" s="60"/>
      <c r="J9" s="60"/>
    </row>
    <row r="10" spans="2:10" x14ac:dyDescent="0.2">
      <c r="B10" s="58" t="s">
        <v>237</v>
      </c>
      <c r="C10" s="58" t="s">
        <v>52</v>
      </c>
      <c r="D10" s="61">
        <v>121099.51076001099</v>
      </c>
      <c r="E10" s="62">
        <v>0.99262190496816805</v>
      </c>
      <c r="F10" s="63">
        <f>D10*E10</f>
        <v>120206.02706131527</v>
      </c>
      <c r="G10" s="64">
        <f>+F10+INVERSIONES!D10</f>
        <v>152193.5129852469</v>
      </c>
      <c r="H10" s="64">
        <f>+G10+INVERSIONES!E10</f>
        <v>175950.86314030419</v>
      </c>
      <c r="I10" s="64">
        <f>+H10+INVERSIONES!F10</f>
        <v>196019.57032490263</v>
      </c>
      <c r="J10" s="64">
        <f>+I10+INVERSIONES!G10</f>
        <v>212763.34804558399</v>
      </c>
    </row>
    <row r="11" spans="2:10" x14ac:dyDescent="0.2">
      <c r="B11" s="58" t="s">
        <v>240</v>
      </c>
      <c r="C11" s="58" t="s">
        <v>53</v>
      </c>
      <c r="D11" s="61">
        <v>9997.5703031750818</v>
      </c>
      <c r="E11" s="62">
        <f>E10</f>
        <v>0.99262190496816805</v>
      </c>
      <c r="F11" s="63">
        <f>D11*E11</f>
        <v>9923.8072793908359</v>
      </c>
      <c r="G11" s="64">
        <f>+F11+INVERSIONES!D11</f>
        <v>11006.394871985482</v>
      </c>
      <c r="H11" s="64">
        <f>+G11+INVERSIONES!E11</f>
        <v>11928.660023787648</v>
      </c>
      <c r="I11" s="64">
        <f>+H11+INVERSIONES!F11</f>
        <v>12857.545332126101</v>
      </c>
      <c r="J11" s="64">
        <f>+I11+INVERSIONES!G11</f>
        <v>13787.497510140678</v>
      </c>
    </row>
    <row r="12" spans="2:10" x14ac:dyDescent="0.2">
      <c r="B12" s="58" t="s">
        <v>236</v>
      </c>
      <c r="C12" s="58" t="s">
        <v>58</v>
      </c>
      <c r="D12" s="61">
        <v>9481.3635615209423</v>
      </c>
      <c r="E12" s="62">
        <f>E10</f>
        <v>0.99262190496816805</v>
      </c>
      <c r="F12" s="63">
        <f>D12*E12</f>
        <v>9411.4091601326927</v>
      </c>
      <c r="G12" s="64">
        <f>+F12+INVERSIONES!D12</f>
        <v>9950.1591601326927</v>
      </c>
      <c r="H12" s="64">
        <f>+G12+INVERSIONES!E12</f>
        <v>10687.809160132692</v>
      </c>
      <c r="I12" s="64">
        <f>+H12+INVERSIONES!F12</f>
        <v>11469.409160132693</v>
      </c>
      <c r="J12" s="64">
        <f>+I12+INVERSIONES!G12</f>
        <v>13539.209160132694</v>
      </c>
    </row>
    <row r="13" spans="2:10" x14ac:dyDescent="0.2">
      <c r="B13" s="58"/>
      <c r="C13" s="58"/>
      <c r="D13" s="65">
        <f>SUM(D10:D12)</f>
        <v>140578.44462470702</v>
      </c>
      <c r="E13" s="62"/>
      <c r="F13" s="66">
        <f>SUM(F10:F12)</f>
        <v>139541.24350083878</v>
      </c>
      <c r="G13" s="67"/>
      <c r="H13" s="67"/>
      <c r="I13" s="67"/>
      <c r="J13" s="68"/>
    </row>
    <row r="14" spans="2:10" x14ac:dyDescent="0.2">
      <c r="B14" s="69"/>
      <c r="C14" s="69"/>
      <c r="D14" s="61"/>
      <c r="E14" s="70"/>
      <c r="F14" s="71"/>
      <c r="G14" s="72"/>
      <c r="H14" s="72"/>
      <c r="I14" s="72"/>
      <c r="J14" s="72"/>
    </row>
    <row r="15" spans="2:10" x14ac:dyDescent="0.2">
      <c r="B15" s="58" t="s">
        <v>54</v>
      </c>
      <c r="C15" s="58" t="s">
        <v>56</v>
      </c>
      <c r="D15" s="61">
        <v>51195.191371309746</v>
      </c>
      <c r="E15" s="62">
        <f>E10</f>
        <v>0.99262190496816805</v>
      </c>
      <c r="F15" s="63">
        <f>D15*E15</f>
        <v>50817.468384199397</v>
      </c>
      <c r="G15" s="64">
        <f>F15+(G10-F10)-((G10-F10)/2+F10)*'PERDIDAS y OTROS'!E$10</f>
        <v>78718.9612074326</v>
      </c>
      <c r="H15" s="64">
        <f>G15+(H10-G10)-((H10-G10)/2+G10)*'PERDIDAS y OTROS'!F$10</f>
        <v>97554.145720606626</v>
      </c>
      <c r="I15" s="64">
        <f>H15+(I10-H10)-((I10-H10)/2+H10)*'PERDIDAS y OTROS'!G$10</f>
        <v>112043.29640322695</v>
      </c>
      <c r="J15" s="64">
        <f>I15+(J10-I10)-((J10-I10)/2+I10)*'PERDIDAS y OTROS'!H$10</f>
        <v>122655.33034835101</v>
      </c>
    </row>
    <row r="16" spans="2:10" x14ac:dyDescent="0.2">
      <c r="B16" s="58" t="s">
        <v>238</v>
      </c>
      <c r="C16" s="58" t="s">
        <v>55</v>
      </c>
      <c r="D16" s="61">
        <v>4052.8303280800665</v>
      </c>
      <c r="E16" s="62">
        <f>E10</f>
        <v>0.99262190496816805</v>
      </c>
      <c r="F16" s="63">
        <f>D16*E16</f>
        <v>4022.9281607716011</v>
      </c>
      <c r="G16" s="64">
        <f>F16+(G11-F11)-((G11-F11)/2+F11)*'PERDIDAS y OTROS'!E$11</f>
        <v>4598.157587004921</v>
      </c>
      <c r="H16" s="64">
        <f>G16+(H11-G11)-((H11-G11)/2+G11)*'PERDIDAS y OTROS'!F$11</f>
        <v>4964.4659777038205</v>
      </c>
      <c r="I16" s="64">
        <f>H16+(I11-H11)-((I11-H11)/2+H11)*'PERDIDAS y OTROS'!G$11</f>
        <v>5292.5217474893097</v>
      </c>
      <c r="J16" s="64">
        <f>I16+(J11-I11)-((J11-I11)/2+I11)*'PERDIDAS y OTROS'!H$11</f>
        <v>5576.5852722888249</v>
      </c>
    </row>
    <row r="17" spans="2:12" x14ac:dyDescent="0.2">
      <c r="B17" s="58" t="s">
        <v>239</v>
      </c>
      <c r="C17" s="58" t="s">
        <v>59</v>
      </c>
      <c r="D17" s="61">
        <v>4669.9186391286557</v>
      </c>
      <c r="E17" s="62">
        <f>E10</f>
        <v>0.99262190496816805</v>
      </c>
      <c r="F17" s="63">
        <f>D17*E17</f>
        <v>4635.4635356182407</v>
      </c>
      <c r="G17" s="64">
        <f>F17+(G12-F12)-((G12-F12)/2+F12)*'PERDIDAS y OTROS'!E$12</f>
        <v>4851.843423085822</v>
      </c>
      <c r="H17" s="64">
        <f>G17+(H12-G12)-((H12-G12)/2+G12)*'PERDIDAS y OTROS'!F$12</f>
        <v>5245.8712505534031</v>
      </c>
      <c r="I17" s="64">
        <f>H17+(I12-H12)-((I12-H12)/2+H12)*'PERDIDAS y OTROS'!G$12</f>
        <v>5658.5535655209851</v>
      </c>
      <c r="J17" s="64">
        <f>I17+(J12-I12)-((J12-I12)/2+I12)*'PERDIDAS y OTROS'!H$12</f>
        <v>7311.9600704885679</v>
      </c>
    </row>
    <row r="18" spans="2:12" x14ac:dyDescent="0.2">
      <c r="B18" s="73"/>
      <c r="C18" s="73"/>
      <c r="D18" s="65">
        <f>SUM(D15:D17)</f>
        <v>59917.940338518471</v>
      </c>
      <c r="E18" s="74"/>
      <c r="F18" s="66">
        <f>SUM(F15:F17)</f>
        <v>59475.860080589242</v>
      </c>
      <c r="G18" s="75"/>
      <c r="H18" s="75"/>
      <c r="I18" s="75"/>
      <c r="J18" s="75"/>
    </row>
    <row r="20" spans="2:12" x14ac:dyDescent="0.2">
      <c r="D20" s="76"/>
      <c r="E20" s="77"/>
      <c r="F20" s="77"/>
      <c r="G20" s="77"/>
      <c r="H20" s="77"/>
      <c r="I20" s="76"/>
      <c r="J20" s="76"/>
      <c r="K20" s="76"/>
      <c r="L20" s="76"/>
    </row>
    <row r="21" spans="2:12" x14ac:dyDescent="0.2">
      <c r="D21" s="78"/>
    </row>
  </sheetData>
  <sheetProtection password="CCC5" sheet="1" objects="1" scenarios="1"/>
  <mergeCells count="1">
    <mergeCell ref="B7:C8"/>
  </mergeCells>
  <phoneticPr fontId="3" type="noConversion"/>
  <pageMargins left="0.74803149606299213" right="0.74803149606299213" top="0.74803149606299213" bottom="0.55118110236220474" header="0.39370078740157483" footer="0"/>
  <pageSetup scale="75" orientation="landscape" r:id="rId1"/>
  <headerFooter alignWithMargins="0">
    <oddHeader>&amp;R&amp;"Calibri,Normal"&amp;12Anexo D de la Resolución AN No.7655-Elec de 25 de julio de 2014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B2:H14"/>
  <sheetViews>
    <sheetView zoomScaleNormal="100" workbookViewId="0">
      <selection activeCell="B38" sqref="B38"/>
    </sheetView>
  </sheetViews>
  <sheetFormatPr baseColWidth="10" defaultColWidth="11.42578125" defaultRowHeight="12.75" x14ac:dyDescent="0.2"/>
  <cols>
    <col min="1" max="1" width="2.28515625" style="36" customWidth="1"/>
    <col min="2" max="2" width="45" style="36" customWidth="1"/>
    <col min="3" max="3" width="11" style="36" bestFit="1" customWidth="1"/>
    <col min="4" max="4" width="21.140625" style="36" customWidth="1"/>
    <col min="5" max="9" width="15.7109375" style="36" bestFit="1" customWidth="1"/>
    <col min="10" max="13" width="11.85546875" style="36" bestFit="1" customWidth="1"/>
    <col min="14" max="16384" width="11.42578125" style="36"/>
  </cols>
  <sheetData>
    <row r="2" spans="2:8" ht="18.75" x14ac:dyDescent="0.3">
      <c r="B2" s="35" t="s">
        <v>65</v>
      </c>
    </row>
    <row r="4" spans="2:8" x14ac:dyDescent="0.2">
      <c r="B4" s="40" t="s">
        <v>63</v>
      </c>
    </row>
    <row r="6" spans="2:8" x14ac:dyDescent="0.2">
      <c r="B6" s="245" t="s">
        <v>481</v>
      </c>
      <c r="C6" s="49"/>
      <c r="D6" s="50" t="s">
        <v>64</v>
      </c>
      <c r="E6" s="50" t="s">
        <v>171</v>
      </c>
      <c r="F6" s="50" t="s">
        <v>172</v>
      </c>
      <c r="G6" s="50" t="s">
        <v>173</v>
      </c>
      <c r="H6" s="50" t="s">
        <v>174</v>
      </c>
    </row>
    <row r="7" spans="2:8" x14ac:dyDescent="0.2">
      <c r="B7" s="51"/>
      <c r="C7" s="51"/>
      <c r="D7" s="52"/>
      <c r="E7" s="53"/>
      <c r="F7" s="53"/>
      <c r="G7" s="53"/>
      <c r="H7" s="53"/>
    </row>
    <row r="8" spans="2:8" x14ac:dyDescent="0.2">
      <c r="B8" s="209" t="s">
        <v>41</v>
      </c>
      <c r="C8" s="210" t="s">
        <v>40</v>
      </c>
      <c r="D8" s="123" t="s">
        <v>128</v>
      </c>
      <c r="E8" s="211">
        <v>149.46509900766472</v>
      </c>
      <c r="F8" s="211">
        <v>141.921496442105</v>
      </c>
      <c r="G8" s="211">
        <v>138.08420529579402</v>
      </c>
      <c r="H8" s="211">
        <v>138.89512250475667</v>
      </c>
    </row>
    <row r="9" spans="2:8" x14ac:dyDescent="0.2">
      <c r="B9" s="83" t="s">
        <v>127</v>
      </c>
      <c r="C9" s="123" t="s">
        <v>1</v>
      </c>
      <c r="D9" s="123" t="s">
        <v>0</v>
      </c>
      <c r="E9" s="212">
        <f>+REGRESIONES!D86</f>
        <v>8.1919433923686585E-2</v>
      </c>
      <c r="F9" s="212">
        <f>+REGRESIONES!E86</f>
        <v>8.1841617130082325E-2</v>
      </c>
      <c r="G9" s="212">
        <f>+REGRESIONES!F86</f>
        <v>8.1763040668914613E-2</v>
      </c>
      <c r="H9" s="212">
        <f>+REGRESIONES!G86</f>
        <v>8.1684659758528025E-2</v>
      </c>
    </row>
    <row r="10" spans="2:8" x14ac:dyDescent="0.2">
      <c r="B10" s="83" t="s">
        <v>101</v>
      </c>
      <c r="C10" s="123" t="s">
        <v>39</v>
      </c>
      <c r="D10" s="123" t="s">
        <v>0</v>
      </c>
      <c r="E10" s="212">
        <v>0.03</v>
      </c>
      <c r="F10" s="212">
        <v>0.03</v>
      </c>
      <c r="G10" s="212">
        <v>0.03</v>
      </c>
      <c r="H10" s="212">
        <v>0.03</v>
      </c>
    </row>
    <row r="11" spans="2:8" x14ac:dyDescent="0.2">
      <c r="B11" s="83" t="s">
        <v>102</v>
      </c>
      <c r="C11" s="123" t="s">
        <v>39</v>
      </c>
      <c r="D11" s="123" t="s">
        <v>0</v>
      </c>
      <c r="E11" s="212">
        <v>4.8480961883873956E-2</v>
      </c>
      <c r="F11" s="212">
        <v>4.8480961883873956E-2</v>
      </c>
      <c r="G11" s="212">
        <v>4.8480961883873956E-2</v>
      </c>
      <c r="H11" s="212">
        <v>4.8480961883873956E-2</v>
      </c>
    </row>
    <row r="12" spans="2:8" x14ac:dyDescent="0.2">
      <c r="B12" s="83" t="s">
        <v>103</v>
      </c>
      <c r="C12" s="123" t="s">
        <v>39</v>
      </c>
      <c r="D12" s="123" t="s">
        <v>0</v>
      </c>
      <c r="E12" s="212">
        <v>3.3300000000000003E-2</v>
      </c>
      <c r="F12" s="212">
        <v>3.3300000000000003E-2</v>
      </c>
      <c r="G12" s="212">
        <v>3.3300000000000003E-2</v>
      </c>
      <c r="H12" s="212">
        <v>3.3300000000000003E-2</v>
      </c>
    </row>
    <row r="13" spans="2:8" x14ac:dyDescent="0.2">
      <c r="B13" s="83" t="s">
        <v>60</v>
      </c>
      <c r="C13" s="123" t="s">
        <v>61</v>
      </c>
      <c r="D13" s="123" t="s">
        <v>123</v>
      </c>
      <c r="E13" s="211">
        <f>ALUMPU!D12</f>
        <v>201.17684921073823</v>
      </c>
      <c r="F13" s="211">
        <f>ALUMPU!E12</f>
        <v>208.56891336858871</v>
      </c>
      <c r="G13" s="211">
        <f>ALUMPU!F12</f>
        <v>217.16674583918277</v>
      </c>
      <c r="H13" s="211">
        <f>ALUMPU!G12</f>
        <v>225.88888432139984</v>
      </c>
    </row>
    <row r="14" spans="2:8" x14ac:dyDescent="0.2">
      <c r="B14" s="54"/>
      <c r="C14" s="54"/>
      <c r="D14" s="54"/>
      <c r="E14" s="54"/>
      <c r="F14" s="54"/>
      <c r="G14" s="54"/>
      <c r="H14" s="54"/>
    </row>
  </sheetData>
  <sheetProtection password="CCC5" sheet="1" objects="1" scenarios="1"/>
  <phoneticPr fontId="3" type="noConversion"/>
  <pageMargins left="0.74803149606299213" right="0.74803149606299213" top="0.74803149606299213" bottom="0.55118110236220474" header="0.39370078740157483" footer="0"/>
  <pageSetup scale="87" orientation="landscape" r:id="rId1"/>
  <headerFooter alignWithMargins="0">
    <oddHeader>&amp;R&amp;"Calibri,Normal"&amp;12Anexo D de la Resolución AN No.7655-Elec de 25 de julio de 2014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IMP-RESUMEN</vt:lpstr>
      <vt:lpstr>IMPD</vt:lpstr>
      <vt:lpstr>IMPCO</vt:lpstr>
      <vt:lpstr>ALUMPU</vt:lpstr>
      <vt:lpstr>DEMANDA</vt:lpstr>
      <vt:lpstr>REGRESIONES</vt:lpstr>
      <vt:lpstr>INVERSIONES</vt:lpstr>
      <vt:lpstr>ACTIVOS</vt:lpstr>
      <vt:lpstr>PERDIDAS y OTROS</vt:lpstr>
      <vt:lpstr>RETORNO</vt:lpstr>
    </vt:vector>
  </TitlesOfParts>
  <Company>Mercados Energeticos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Jenny de Da Lorenzo</cp:lastModifiedBy>
  <cp:lastPrinted>2014-07-28T18:02:20Z</cp:lastPrinted>
  <dcterms:created xsi:type="dcterms:W3CDTF">2001-07-13T14:01:29Z</dcterms:created>
  <dcterms:modified xsi:type="dcterms:W3CDTF">2025-10-03T20:23:28Z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1559427277</vt:i4>
  </property>
  <property fmtid="{D5CDD505-2E9C-101B-9397-08002B2CF9AE}" pid="3" name="_EmailSubject">
    <vt:lpwstr>IMP</vt:lpwstr>
  </property>
  <property fmtid="{D5CDD505-2E9C-101B-9397-08002B2CF9AE}" pid="4" name="_AuthorEmailDisplayName">
    <vt:lpwstr>Jenny de Da Lorenzo</vt:lpwstr>
  </property>
  <property fmtid="{D5CDD505-2E9C-101B-9397-08002B2CF9AE}" pid="5" name="_ReviewingToolsShownOnce">
    <vt:lpwstr/>
  </property>
</Properties>
</file>