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S DE DISTRIBUCION 2018-2022\IMP POST RECURSO\ENSA\"/>
    </mc:Choice>
  </mc:AlternateContent>
  <bookViews>
    <workbookView xWindow="0" yWindow="0" windowWidth="14400" windowHeight="12000" tabRatio="616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externalReferences>
    <externalReference r:id="rId11"/>
  </externalReferences>
  <definedNames>
    <definedName name="ASEP">[1]Parámetros!$B$2:$B$6</definedName>
  </definedNames>
  <calcPr calcId="152511"/>
</workbook>
</file>

<file path=xl/calcChain.xml><?xml version="1.0" encoding="utf-8"?>
<calcChain xmlns="http://schemas.openxmlformats.org/spreadsheetml/2006/main">
  <c r="H20" i="17" l="1"/>
  <c r="G20" i="17"/>
  <c r="F20" i="17"/>
  <c r="E20" i="17"/>
  <c r="D20" i="17"/>
  <c r="H18" i="17"/>
  <c r="G18" i="17"/>
  <c r="F18" i="17"/>
  <c r="E18" i="17"/>
  <c r="F11" i="11"/>
  <c r="G11" i="11"/>
  <c r="H11" i="11"/>
  <c r="E11" i="11"/>
  <c r="D17" i="8" l="1"/>
  <c r="D12" i="8"/>
  <c r="Z37" i="10" l="1"/>
  <c r="Y37" i="10"/>
  <c r="X19" i="10"/>
  <c r="W19" i="10"/>
  <c r="V19" i="10"/>
  <c r="U19" i="10"/>
  <c r="Y19" i="10" s="1"/>
  <c r="X18" i="10"/>
  <c r="W18" i="10"/>
  <c r="V18" i="10"/>
  <c r="U18" i="10"/>
  <c r="Y18" i="10" s="1"/>
  <c r="X17" i="10"/>
  <c r="W17" i="10"/>
  <c r="V17" i="10"/>
  <c r="U17" i="10"/>
  <c r="Y17" i="10" s="1"/>
  <c r="X16" i="10"/>
  <c r="W16" i="10"/>
  <c r="V16" i="10"/>
  <c r="U16" i="10"/>
  <c r="Y16" i="10" s="1"/>
  <c r="X15" i="10"/>
  <c r="W15" i="10"/>
  <c r="V15" i="10"/>
  <c r="U15" i="10"/>
  <c r="X14" i="10"/>
  <c r="W14" i="10"/>
  <c r="V14" i="10"/>
  <c r="U14" i="10"/>
  <c r="X13" i="10"/>
  <c r="W13" i="10"/>
  <c r="V13" i="10"/>
  <c r="U13" i="10"/>
  <c r="X12" i="10"/>
  <c r="W12" i="10"/>
  <c r="V12" i="10"/>
  <c r="U12" i="10"/>
  <c r="X11" i="10"/>
  <c r="W11" i="10"/>
  <c r="V11" i="10"/>
  <c r="U11" i="10"/>
  <c r="X10" i="10"/>
  <c r="W10" i="10"/>
  <c r="V10" i="10"/>
  <c r="U10" i="10"/>
  <c r="Y10" i="10" s="1"/>
  <c r="X9" i="10"/>
  <c r="W9" i="10"/>
  <c r="V9" i="10"/>
  <c r="U9" i="10"/>
  <c r="Y9" i="10" s="1"/>
  <c r="X8" i="10"/>
  <c r="W8" i="10"/>
  <c r="V8" i="10"/>
  <c r="U8" i="10"/>
  <c r="X65" i="10"/>
  <c r="W65" i="10"/>
  <c r="V65" i="10"/>
  <c r="U65" i="10"/>
  <c r="Y65" i="10" s="1"/>
  <c r="X64" i="10"/>
  <c r="W64" i="10"/>
  <c r="V64" i="10"/>
  <c r="U64" i="10"/>
  <c r="Y64" i="10" s="1"/>
  <c r="X63" i="10"/>
  <c r="W63" i="10"/>
  <c r="V63" i="10"/>
  <c r="U63" i="10"/>
  <c r="Y63" i="10" s="1"/>
  <c r="Y62" i="10"/>
  <c r="X62" i="10"/>
  <c r="W62" i="10"/>
  <c r="V62" i="10"/>
  <c r="U62" i="10"/>
  <c r="X61" i="10"/>
  <c r="W61" i="10"/>
  <c r="V61" i="10"/>
  <c r="U61" i="10"/>
  <c r="Y61" i="10" s="1"/>
  <c r="X60" i="10"/>
  <c r="W60" i="10"/>
  <c r="V60" i="10"/>
  <c r="U60" i="10"/>
  <c r="Y60" i="10" s="1"/>
  <c r="X59" i="10"/>
  <c r="W59" i="10"/>
  <c r="V59" i="10"/>
  <c r="U59" i="10"/>
  <c r="Y59" i="10" s="1"/>
  <c r="X58" i="10"/>
  <c r="W58" i="10"/>
  <c r="V58" i="10"/>
  <c r="U58" i="10"/>
  <c r="Y58" i="10" s="1"/>
  <c r="X53" i="10"/>
  <c r="W53" i="10"/>
  <c r="V53" i="10"/>
  <c r="U53" i="10"/>
  <c r="Y53" i="10" s="1"/>
  <c r="X52" i="10"/>
  <c r="W52" i="10"/>
  <c r="V52" i="10"/>
  <c r="U52" i="10"/>
  <c r="Y52" i="10" s="1"/>
  <c r="X51" i="10"/>
  <c r="W51" i="10"/>
  <c r="V51" i="10"/>
  <c r="U51" i="10"/>
  <c r="Y51" i="10" s="1"/>
  <c r="Y50" i="10"/>
  <c r="X50" i="10"/>
  <c r="W50" i="10"/>
  <c r="V50" i="10"/>
  <c r="U50" i="10"/>
  <c r="X49" i="10"/>
  <c r="W49" i="10"/>
  <c r="V49" i="10"/>
  <c r="U49" i="10"/>
  <c r="Y49" i="10" s="1"/>
  <c r="X48" i="10"/>
  <c r="W48" i="10"/>
  <c r="V48" i="10"/>
  <c r="U48" i="10"/>
  <c r="Y48" i="10" s="1"/>
  <c r="X47" i="10"/>
  <c r="W47" i="10"/>
  <c r="V47" i="10"/>
  <c r="U47" i="10"/>
  <c r="Y47" i="10" s="1"/>
  <c r="X46" i="10"/>
  <c r="W46" i="10"/>
  <c r="V46" i="10"/>
  <c r="U46" i="10"/>
  <c r="Y46" i="10" s="1"/>
  <c r="X45" i="10"/>
  <c r="W45" i="10"/>
  <c r="V45" i="10"/>
  <c r="U45" i="10"/>
  <c r="Y45" i="10" s="1"/>
  <c r="X44" i="10"/>
  <c r="W44" i="10"/>
  <c r="V44" i="10"/>
  <c r="U44" i="10"/>
  <c r="Y44" i="10" s="1"/>
  <c r="X39" i="10"/>
  <c r="W39" i="10"/>
  <c r="V39" i="10"/>
  <c r="U39" i="10"/>
  <c r="Y39" i="10" s="1"/>
  <c r="U24" i="10"/>
  <c r="V24" i="10"/>
  <c r="W24" i="10"/>
  <c r="X24" i="10"/>
  <c r="U25" i="10"/>
  <c r="V25" i="10"/>
  <c r="W25" i="10"/>
  <c r="X25" i="10"/>
  <c r="Y25" i="10" s="1"/>
  <c r="U26" i="10"/>
  <c r="V26" i="10"/>
  <c r="W26" i="10"/>
  <c r="X26" i="10"/>
  <c r="U27" i="10"/>
  <c r="V27" i="10"/>
  <c r="W27" i="10"/>
  <c r="X27" i="10"/>
  <c r="U28" i="10"/>
  <c r="V28" i="10"/>
  <c r="Y28" i="10" s="1"/>
  <c r="W28" i="10"/>
  <c r="X28" i="10"/>
  <c r="U29" i="10"/>
  <c r="V29" i="10"/>
  <c r="W29" i="10"/>
  <c r="X29" i="10"/>
  <c r="U30" i="10"/>
  <c r="V30" i="10"/>
  <c r="W30" i="10"/>
  <c r="X30" i="10"/>
  <c r="U31" i="10"/>
  <c r="V31" i="10"/>
  <c r="W31" i="10"/>
  <c r="X31" i="10"/>
  <c r="U32" i="10"/>
  <c r="V32" i="10"/>
  <c r="W32" i="10"/>
  <c r="X32" i="10"/>
  <c r="U33" i="10"/>
  <c r="V33" i="10"/>
  <c r="W33" i="10"/>
  <c r="X33" i="10"/>
  <c r="U34" i="10"/>
  <c r="V34" i="10"/>
  <c r="W34" i="10"/>
  <c r="X34" i="10"/>
  <c r="U35" i="10"/>
  <c r="Y35" i="10" s="1"/>
  <c r="V35" i="10"/>
  <c r="W35" i="10"/>
  <c r="X35" i="10"/>
  <c r="U36" i="10"/>
  <c r="Y36" i="10" s="1"/>
  <c r="V36" i="10"/>
  <c r="W36" i="10"/>
  <c r="X36" i="10"/>
  <c r="D23" i="10"/>
  <c r="S36" i="10"/>
  <c r="K7" i="10"/>
  <c r="G23" i="10"/>
  <c r="F23" i="10"/>
  <c r="E23" i="10"/>
  <c r="L23" i="10"/>
  <c r="S35" i="10"/>
  <c r="G12" i="11"/>
  <c r="H12" i="11" s="1"/>
  <c r="G13" i="11"/>
  <c r="H13" i="11"/>
  <c r="G14" i="11"/>
  <c r="H14" i="11" s="1"/>
  <c r="F13" i="11"/>
  <c r="F14" i="11"/>
  <c r="F12" i="11"/>
  <c r="Y8" i="10" l="1"/>
  <c r="Y15" i="10"/>
  <c r="Y11" i="10"/>
  <c r="Y12" i="10"/>
  <c r="Y14" i="10"/>
  <c r="Y13" i="10"/>
  <c r="Y33" i="10"/>
  <c r="Y30" i="10"/>
  <c r="Y31" i="10"/>
  <c r="Y32" i="10"/>
  <c r="Y34" i="10"/>
  <c r="Y29" i="10"/>
  <c r="Y27" i="10"/>
  <c r="Y26" i="10"/>
  <c r="Y24" i="10"/>
  <c r="E12" i="12"/>
  <c r="F12" i="12" s="1"/>
  <c r="G12" i="12" s="1"/>
  <c r="H12" i="12" s="1"/>
  <c r="S45" i="10" l="1"/>
  <c r="S47" i="10"/>
  <c r="S48" i="10"/>
  <c r="S49" i="10"/>
  <c r="S50" i="10"/>
  <c r="S51" i="10"/>
  <c r="S44" i="10"/>
  <c r="D44" i="17" l="1"/>
  <c r="D43" i="17"/>
  <c r="D42" i="17"/>
  <c r="D41" i="17"/>
  <c r="D40" i="17"/>
  <c r="S19" i="10" l="1"/>
  <c r="M23" i="10" l="1"/>
  <c r="N23" i="10"/>
  <c r="O23" i="10"/>
  <c r="P23" i="10"/>
  <c r="Q23" i="10"/>
  <c r="R23" i="10"/>
  <c r="K23" i="10"/>
  <c r="S39" i="10"/>
  <c r="U23" i="10" l="1"/>
  <c r="D21" i="10"/>
  <c r="W23" i="10"/>
  <c r="X23" i="10"/>
  <c r="V23" i="10"/>
  <c r="G14" i="14"/>
  <c r="G13" i="14"/>
  <c r="Y23" i="10" l="1"/>
  <c r="G36" i="10"/>
  <c r="F36" i="10"/>
  <c r="E36" i="10"/>
  <c r="D36" i="10"/>
  <c r="G35" i="10"/>
  <c r="F35" i="10"/>
  <c r="E35" i="10"/>
  <c r="D35" i="10"/>
  <c r="G30" i="10"/>
  <c r="F30" i="10"/>
  <c r="E30" i="10"/>
  <c r="D30" i="10"/>
  <c r="G29" i="10"/>
  <c r="F29" i="10"/>
  <c r="E29" i="10"/>
  <c r="D29" i="10"/>
  <c r="G28" i="10"/>
  <c r="F28" i="10"/>
  <c r="E28" i="10"/>
  <c r="D28" i="10"/>
  <c r="R64" i="10"/>
  <c r="Q64" i="10"/>
  <c r="G37" i="10" s="1"/>
  <c r="P64" i="10"/>
  <c r="O64" i="10"/>
  <c r="N64" i="10"/>
  <c r="M64" i="10"/>
  <c r="L64" i="10"/>
  <c r="K64" i="10"/>
  <c r="R60" i="10"/>
  <c r="Q60" i="10"/>
  <c r="P60" i="10"/>
  <c r="O60" i="10"/>
  <c r="N60" i="10"/>
  <c r="M60" i="10"/>
  <c r="L60" i="10"/>
  <c r="K60" i="10"/>
  <c r="R52" i="10"/>
  <c r="Q52" i="10"/>
  <c r="P52" i="10"/>
  <c r="O52" i="10"/>
  <c r="N52" i="10"/>
  <c r="M52" i="10"/>
  <c r="L52" i="10"/>
  <c r="K52" i="10"/>
  <c r="R46" i="10"/>
  <c r="Q46" i="10"/>
  <c r="P46" i="10"/>
  <c r="O46" i="10"/>
  <c r="N46" i="10"/>
  <c r="M46" i="10"/>
  <c r="L46" i="10"/>
  <c r="K46" i="10"/>
  <c r="S25" i="10"/>
  <c r="S26" i="10"/>
  <c r="S27" i="10"/>
  <c r="S28" i="10"/>
  <c r="S29" i="10"/>
  <c r="S30" i="10"/>
  <c r="S31" i="10"/>
  <c r="S32" i="10"/>
  <c r="S33" i="10"/>
  <c r="S34" i="10"/>
  <c r="S24" i="10"/>
  <c r="S18" i="10"/>
  <c r="S9" i="10"/>
  <c r="S10" i="10"/>
  <c r="S11" i="10"/>
  <c r="S12" i="10"/>
  <c r="S13" i="10"/>
  <c r="S14" i="10"/>
  <c r="S15" i="10"/>
  <c r="S16" i="10"/>
  <c r="S17" i="10"/>
  <c r="S8" i="10"/>
  <c r="P7" i="10"/>
  <c r="Q7" i="10"/>
  <c r="R7" i="10"/>
  <c r="L7" i="10"/>
  <c r="U7" i="10" s="1"/>
  <c r="M7" i="10"/>
  <c r="N7" i="10"/>
  <c r="O7" i="10"/>
  <c r="G22" i="10"/>
  <c r="F22" i="10"/>
  <c r="E22" i="10"/>
  <c r="D22" i="10"/>
  <c r="F20" i="10" l="1"/>
  <c r="V7" i="10"/>
  <c r="W7" i="10"/>
  <c r="X7" i="10"/>
  <c r="S7" i="10"/>
  <c r="S23" i="10"/>
  <c r="D20" i="10"/>
  <c r="D24" i="10" s="1"/>
  <c r="S46" i="10"/>
  <c r="S52" i="10"/>
  <c r="D37" i="10"/>
  <c r="D38" i="10" s="1"/>
  <c r="F31" i="10"/>
  <c r="F32" i="10" s="1"/>
  <c r="F10" i="10" s="1"/>
  <c r="E37" i="10"/>
  <c r="E38" i="10" s="1"/>
  <c r="F37" i="10"/>
  <c r="F38" i="10" s="1"/>
  <c r="G38" i="10"/>
  <c r="H30" i="10"/>
  <c r="E31" i="10"/>
  <c r="E32" i="10" s="1"/>
  <c r="E10" i="10" s="1"/>
  <c r="G31" i="10"/>
  <c r="G32" i="10" s="1"/>
  <c r="G10" i="10" s="1"/>
  <c r="H36" i="10"/>
  <c r="H35" i="10"/>
  <c r="E20" i="10"/>
  <c r="K53" i="10"/>
  <c r="K65" i="10"/>
  <c r="D31" i="10"/>
  <c r="O53" i="10"/>
  <c r="O65" i="10"/>
  <c r="L53" i="10"/>
  <c r="P53" i="10"/>
  <c r="L65" i="10"/>
  <c r="P65" i="10"/>
  <c r="G20" i="10"/>
  <c r="M53" i="10"/>
  <c r="Q53" i="10"/>
  <c r="M65" i="10"/>
  <c r="Q65" i="10"/>
  <c r="N53" i="10"/>
  <c r="R53" i="10"/>
  <c r="N65" i="10"/>
  <c r="R65" i="10"/>
  <c r="Y7" i="10" l="1"/>
  <c r="H31" i="10"/>
  <c r="H38" i="10"/>
  <c r="S53" i="10"/>
  <c r="H37" i="10"/>
  <c r="D32" i="10"/>
  <c r="D10" i="10" s="1"/>
  <c r="E8" i="12" l="1"/>
  <c r="F8" i="12" s="1"/>
  <c r="G8" i="12" s="1"/>
  <c r="H8" i="12" s="1"/>
  <c r="G25" i="10" l="1"/>
  <c r="F25" i="10"/>
  <c r="E25" i="10"/>
  <c r="F21" i="10" l="1"/>
  <c r="F24" i="10" s="1"/>
  <c r="E21" i="10"/>
  <c r="G21" i="10"/>
  <c r="H23" i="10"/>
  <c r="H25" i="10" s="1"/>
  <c r="D25" i="10"/>
  <c r="I8" i="12" l="1"/>
  <c r="G17" i="2"/>
  <c r="F17" i="2"/>
  <c r="E17" i="2"/>
  <c r="D17" i="2"/>
  <c r="H16" i="12"/>
  <c r="G16" i="12"/>
  <c r="F16" i="12"/>
  <c r="E16" i="12"/>
  <c r="C32" i="17" l="1"/>
  <c r="C62" i="17" s="1"/>
  <c r="C31" i="17"/>
  <c r="C61" i="17" s="1"/>
  <c r="C29" i="17"/>
  <c r="C59" i="17" s="1"/>
  <c r="E32" i="17"/>
  <c r="E62" i="17" s="1"/>
  <c r="E31" i="17"/>
  <c r="E61" i="17" s="1"/>
  <c r="E29" i="17"/>
  <c r="E59" i="17" s="1"/>
  <c r="F29" i="17"/>
  <c r="F59" i="17" s="1"/>
  <c r="F32" i="17"/>
  <c r="F62" i="17" s="1"/>
  <c r="F31" i="17"/>
  <c r="F61" i="17" s="1"/>
  <c r="G29" i="17"/>
  <c r="G59" i="17" s="1"/>
  <c r="G31" i="17"/>
  <c r="G61" i="17" s="1"/>
  <c r="G32" i="17"/>
  <c r="G62" i="17" s="1"/>
  <c r="D31" i="17"/>
  <c r="D61" i="17" s="1"/>
  <c r="D32" i="17"/>
  <c r="D62" i="17" s="1"/>
  <c r="D29" i="17"/>
  <c r="D59" i="17" s="1"/>
  <c r="D16" i="12"/>
  <c r="G24" i="10" l="1"/>
  <c r="E24" i="10"/>
  <c r="H29" i="10"/>
  <c r="H21" i="10" l="1"/>
  <c r="E72" i="17" l="1"/>
  <c r="F72" i="17"/>
  <c r="G72" i="17"/>
  <c r="H28" i="10"/>
  <c r="H32" i="10" s="1"/>
  <c r="D11" i="4"/>
  <c r="E15" i="11" s="1"/>
  <c r="C16" i="7"/>
  <c r="C17" i="7" s="1"/>
  <c r="C28" i="7" s="1"/>
  <c r="D16" i="7"/>
  <c r="E16" i="7"/>
  <c r="F16" i="7"/>
  <c r="I13" i="12"/>
  <c r="E14" i="8"/>
  <c r="E10" i="8"/>
  <c r="E15" i="8"/>
  <c r="E16" i="8"/>
  <c r="E11" i="8"/>
  <c r="E11" i="4"/>
  <c r="F15" i="11" s="1"/>
  <c r="F11" i="4"/>
  <c r="G15" i="11" s="1"/>
  <c r="G11" i="4"/>
  <c r="H15" i="11" s="1"/>
  <c r="I12" i="12"/>
  <c r="G17" i="10" l="1"/>
  <c r="G9" i="10" s="1"/>
  <c r="F17" i="10"/>
  <c r="F9" i="10" s="1"/>
  <c r="E17" i="10"/>
  <c r="E9" i="10" s="1"/>
  <c r="H10" i="10"/>
  <c r="H22" i="10"/>
  <c r="F17" i="7"/>
  <c r="F28" i="7" s="1"/>
  <c r="E17" i="7"/>
  <c r="E28" i="7" s="1"/>
  <c r="D17" i="7"/>
  <c r="D28" i="7" s="1"/>
  <c r="D40" i="7" l="1"/>
  <c r="H20" i="10"/>
  <c r="H24" i="10" s="1"/>
  <c r="D72" i="17" l="1"/>
  <c r="D10" i="12"/>
  <c r="C72" i="17"/>
  <c r="D17" i="10" l="1"/>
  <c r="D9" i="10" l="1"/>
  <c r="H17" i="10"/>
  <c r="C88" i="17"/>
  <c r="C89" i="17" s="1"/>
  <c r="F88" i="17"/>
  <c r="F89" i="17" s="1"/>
  <c r="G9" i="11" s="1"/>
  <c r="G88" i="17"/>
  <c r="G89" i="17" s="1"/>
  <c r="H9" i="11" s="1"/>
  <c r="D88" i="17"/>
  <c r="D89" i="17" s="1"/>
  <c r="E9" i="11" s="1"/>
  <c r="E88" i="17"/>
  <c r="E89" i="17" s="1"/>
  <c r="F9" i="11" s="1"/>
  <c r="F15" i="12" s="1"/>
  <c r="F7" i="12" s="1"/>
  <c r="F6" i="12" l="1"/>
  <c r="H9" i="10"/>
  <c r="G15" i="12"/>
  <c r="G7" i="12" s="1"/>
  <c r="F16" i="2"/>
  <c r="F19" i="2" s="1"/>
  <c r="E11" i="7" s="1"/>
  <c r="E24" i="7" s="1"/>
  <c r="G16" i="2"/>
  <c r="G19" i="2" s="1"/>
  <c r="F11" i="7" s="1"/>
  <c r="F24" i="7" s="1"/>
  <c r="E16" i="2"/>
  <c r="E19" i="2" s="1"/>
  <c r="D11" i="7" s="1"/>
  <c r="D24" i="7" s="1"/>
  <c r="E15" i="12"/>
  <c r="D16" i="2"/>
  <c r="D19" i="2" s="1"/>
  <c r="C11" i="7" s="1"/>
  <c r="H15" i="12"/>
  <c r="H7" i="12" s="1"/>
  <c r="G6" i="12" l="1"/>
  <c r="H6" i="12"/>
  <c r="E7" i="12"/>
  <c r="D7" i="12"/>
  <c r="D6" i="12" l="1"/>
  <c r="D18" i="17" s="1"/>
  <c r="E6" i="12"/>
  <c r="E28" i="17"/>
  <c r="E58" i="17" s="1"/>
  <c r="E30" i="17"/>
  <c r="E60" i="17" s="1"/>
  <c r="I7" i="12"/>
  <c r="D9" i="12" l="1"/>
  <c r="E11" i="3"/>
  <c r="F12" i="2"/>
  <c r="E11" i="2"/>
  <c r="E12" i="2"/>
  <c r="F11" i="3"/>
  <c r="I6" i="12"/>
  <c r="C28" i="17"/>
  <c r="C58" i="17" s="1"/>
  <c r="F30" i="17"/>
  <c r="F60" i="17" s="1"/>
  <c r="F28" i="17"/>
  <c r="F58" i="17" s="1"/>
  <c r="E66" i="17"/>
  <c r="G30" i="17"/>
  <c r="G60" i="17" s="1"/>
  <c r="G28" i="17"/>
  <c r="G58" i="17" s="1"/>
  <c r="E67" i="17"/>
  <c r="E68" i="17" l="1"/>
  <c r="C30" i="17"/>
  <c r="C60" i="17" s="1"/>
  <c r="F11" i="2"/>
  <c r="F67" i="17"/>
  <c r="D30" i="17"/>
  <c r="D60" i="17" s="1"/>
  <c r="D67" i="17" s="1"/>
  <c r="D28" i="17"/>
  <c r="D58" i="17" s="1"/>
  <c r="F71" i="17"/>
  <c r="F66" i="17"/>
  <c r="G66" i="17"/>
  <c r="G71" i="17"/>
  <c r="C66" i="17"/>
  <c r="C71" i="17"/>
  <c r="C74" i="17" s="1"/>
  <c r="D11" i="3" l="1"/>
  <c r="D11" i="2"/>
  <c r="D12" i="2"/>
  <c r="F68" i="17"/>
  <c r="E71" i="17"/>
  <c r="D66" i="17"/>
  <c r="F16" i="10"/>
  <c r="F8" i="10" s="1"/>
  <c r="F74" i="17"/>
  <c r="D71" i="17"/>
  <c r="G11" i="2"/>
  <c r="G16" i="10"/>
  <c r="G8" i="10" s="1"/>
  <c r="G74" i="17"/>
  <c r="G11" i="3" l="1"/>
  <c r="G12" i="2"/>
  <c r="D68" i="17"/>
  <c r="D74" i="17"/>
  <c r="D16" i="10"/>
  <c r="D8" i="10" s="1"/>
  <c r="E16" i="10"/>
  <c r="E8" i="10" s="1"/>
  <c r="E74" i="17"/>
  <c r="F12" i="10"/>
  <c r="G12" i="10"/>
  <c r="C67" i="17"/>
  <c r="C68" i="17" s="1"/>
  <c r="G67" i="17"/>
  <c r="G68" i="17" s="1"/>
  <c r="E12" i="10" l="1"/>
  <c r="H16" i="10"/>
  <c r="F16" i="8"/>
  <c r="D12" i="10" l="1"/>
  <c r="H12" i="10" s="1"/>
  <c r="H8" i="10"/>
  <c r="F11" i="8"/>
  <c r="G11" i="8" s="1"/>
  <c r="F14" i="8" l="1"/>
  <c r="D10" i="4"/>
  <c r="H11" i="8"/>
  <c r="F15" i="8"/>
  <c r="G16" i="8"/>
  <c r="F10" i="8" l="1"/>
  <c r="G10" i="8" s="1"/>
  <c r="G15" i="8" s="1"/>
  <c r="F17" i="8"/>
  <c r="H16" i="8"/>
  <c r="D9" i="4"/>
  <c r="D13" i="4" s="1"/>
  <c r="C10" i="7" s="1"/>
  <c r="I11" i="8"/>
  <c r="E10" i="4"/>
  <c r="F9" i="8"/>
  <c r="H10" i="8" l="1"/>
  <c r="H15" i="8" s="1"/>
  <c r="D10" i="3"/>
  <c r="I16" i="8"/>
  <c r="E9" i="4"/>
  <c r="E13" i="4" s="1"/>
  <c r="D10" i="7" s="1"/>
  <c r="D23" i="7" s="1"/>
  <c r="F12" i="8"/>
  <c r="G9" i="8"/>
  <c r="F10" i="4"/>
  <c r="J11" i="8"/>
  <c r="G10" i="4" s="1"/>
  <c r="D9" i="3"/>
  <c r="I10" i="8" l="1"/>
  <c r="F10" i="3" s="1"/>
  <c r="E10" i="3"/>
  <c r="D13" i="3"/>
  <c r="C9" i="7" s="1"/>
  <c r="H9" i="8"/>
  <c r="D10" i="2"/>
  <c r="G14" i="8"/>
  <c r="E9" i="3"/>
  <c r="J16" i="8"/>
  <c r="G9" i="4" s="1"/>
  <c r="G13" i="4" s="1"/>
  <c r="F10" i="7" s="1"/>
  <c r="F23" i="7" s="1"/>
  <c r="F9" i="4"/>
  <c r="F13" i="4" s="1"/>
  <c r="E10" i="7" s="1"/>
  <c r="E23" i="7" s="1"/>
  <c r="I15" i="8" l="1"/>
  <c r="F9" i="3" s="1"/>
  <c r="F13" i="3" s="1"/>
  <c r="E9" i="7" s="1"/>
  <c r="E22" i="7" s="1"/>
  <c r="E13" i="3"/>
  <c r="D9" i="7" s="1"/>
  <c r="D22" i="7" s="1"/>
  <c r="J10" i="8"/>
  <c r="G10" i="3" s="1"/>
  <c r="D9" i="2"/>
  <c r="D14" i="2" s="1"/>
  <c r="C8" i="7" s="1"/>
  <c r="C14" i="7" s="1"/>
  <c r="H14" i="8"/>
  <c r="I9" i="8"/>
  <c r="E10" i="2"/>
  <c r="J15" i="8" l="1"/>
  <c r="G9" i="3" s="1"/>
  <c r="G13" i="3" s="1"/>
  <c r="F9" i="7" s="1"/>
  <c r="F22" i="7" s="1"/>
  <c r="D21" i="2"/>
  <c r="F10" i="2"/>
  <c r="J9" i="8"/>
  <c r="G10" i="2" s="1"/>
  <c r="I14" i="8"/>
  <c r="E9" i="2"/>
  <c r="E14" i="2" s="1"/>
  <c r="J14" i="8" l="1"/>
  <c r="G9" i="2" s="1"/>
  <c r="G14" i="2" s="1"/>
  <c r="F9" i="2"/>
  <c r="F14" i="2" s="1"/>
  <c r="E21" i="2"/>
  <c r="D8" i="7"/>
  <c r="D21" i="7" l="1"/>
  <c r="D26" i="7" s="1"/>
  <c r="D14" i="7"/>
  <c r="F21" i="2"/>
  <c r="E8" i="7"/>
  <c r="G21" i="2"/>
  <c r="F8" i="7"/>
  <c r="E21" i="7" l="1"/>
  <c r="E26" i="7" s="1"/>
  <c r="E14" i="7"/>
  <c r="F21" i="7"/>
  <c r="F26" i="7" s="1"/>
  <c r="F14" i="7"/>
  <c r="C22" i="7" l="1"/>
  <c r="D35" i="7" s="1"/>
  <c r="C23" i="7"/>
  <c r="D36" i="7" s="1"/>
  <c r="C21" i="7"/>
  <c r="C24" i="7"/>
  <c r="D38" i="7" s="1"/>
  <c r="D34" i="7" l="1"/>
  <c r="C26" i="7"/>
  <c r="D39" i="7" l="1"/>
  <c r="D37" i="7"/>
  <c r="D41" i="7" l="1"/>
  <c r="D42" i="7"/>
</calcChain>
</file>

<file path=xl/comments1.xml><?xml version="1.0" encoding="utf-8"?>
<comments xmlns="http://schemas.openxmlformats.org/spreadsheetml/2006/main">
  <authors>
    <author>Mariana Alvarez Guerrero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comments2.xml><?xml version="1.0" encoding="utf-8"?>
<comments xmlns="http://schemas.openxmlformats.org/spreadsheetml/2006/main">
  <authors>
    <author>JennyDL</author>
  </authors>
  <commentList>
    <comment ref="J51" authorId="0" shapeId="0">
      <text>
        <r>
          <rPr>
            <b/>
            <sz val="9"/>
            <color indexed="81"/>
            <rFont val="Tahoma"/>
            <family val="2"/>
          </rPr>
          <t>JennyDL:</t>
        </r>
        <r>
          <rPr>
            <sz val="9"/>
            <color indexed="81"/>
            <rFont val="Tahoma"/>
            <family val="2"/>
          </rPr>
          <t xml:space="preserve">
solo es reemplazo</t>
        </r>
      </text>
    </comment>
  </commentList>
</comments>
</file>

<file path=xl/sharedStrings.xml><?xml version="1.0" encoding="utf-8"?>
<sst xmlns="http://schemas.openxmlformats.org/spreadsheetml/2006/main" count="487" uniqueCount="273">
  <si>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</si>
  <si>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</si>
  <si>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</si>
  <si>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</si>
  <si>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</si>
  <si>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</si>
  <si>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</si>
  <si>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</si>
  <si>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</si>
  <si>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ALUMBRADO PÚBLICO</t>
  </si>
  <si>
    <t>MWh</t>
  </si>
  <si>
    <t>IPPD</t>
  </si>
  <si>
    <t>COMERCIALIZACION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</si>
  <si>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</si>
  <si>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</si>
  <si>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</si>
  <si>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</si>
  <si>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</si>
  <si>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</si>
  <si>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</si>
  <si>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</si>
  <si>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</si>
  <si>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TOTAL</t>
  </si>
  <si>
    <t>Nº clientes</t>
  </si>
  <si>
    <t>AD</t>
  </si>
  <si>
    <t>AC</t>
  </si>
  <si>
    <t>ADM</t>
  </si>
  <si>
    <t>Constante</t>
  </si>
  <si>
    <t>OM</t>
  </si>
  <si>
    <t>BCDN * RR</t>
  </si>
  <si>
    <t>BCD * DEP%</t>
  </si>
  <si>
    <t>IPSD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</si>
  <si>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</si>
  <si>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</si>
  <si>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</si>
  <si>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</si>
  <si>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</si>
  <si>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</si>
  <si>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</si>
  <si>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</si>
  <si>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</si>
  <si>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</si>
  <si>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</si>
  <si>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</si>
  <si>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</si>
  <si>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</si>
  <si>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</si>
  <si>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</si>
  <si>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</si>
  <si>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</si>
  <si>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</si>
  <si>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</si>
  <si>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</si>
  <si>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</si>
  <si>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</si>
  <si>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</si>
  <si>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</si>
  <si>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</si>
  <si>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</si>
  <si>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</si>
  <si>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</si>
  <si>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</si>
  <si>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</si>
  <si>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</si>
  <si>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</si>
  <si>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</si>
  <si>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B. REFERENCIAL</t>
  </si>
  <si>
    <t>VPN DEL INGRESO TARIFARIO</t>
  </si>
  <si>
    <t xml:space="preserve"> </t>
  </si>
  <si>
    <t>Factor de Descuento</t>
  </si>
  <si>
    <t>Factor de Descuento Aplicado</t>
  </si>
  <si>
    <t>MW</t>
  </si>
  <si>
    <t>En miles de Balboas</t>
  </si>
  <si>
    <t>Alumbrado Público</t>
  </si>
  <si>
    <t>Concepto</t>
  </si>
  <si>
    <t>Tasa Libre de Riesgo</t>
  </si>
  <si>
    <t>Beta Equity Panama</t>
  </si>
  <si>
    <t>Prima Riesgo Mercado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</si>
  <si>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</si>
  <si>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</si>
  <si>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</si>
  <si>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</si>
  <si>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</si>
  <si>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</si>
  <si>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WACC Real antes de Impuestos</t>
  </si>
  <si>
    <t>Cantidad de luminarias al 30/6</t>
  </si>
  <si>
    <t>Costo O&amp;M por luminaria [B/. /año]</t>
  </si>
  <si>
    <t>A. RESOLUCIÓN ASEP</t>
  </si>
  <si>
    <t>Depreciaciones Activos de Distribución</t>
  </si>
  <si>
    <t>Depreciaciones Activos de Comercialización</t>
  </si>
  <si>
    <t>Depreciaciones Activos de AP</t>
  </si>
  <si>
    <t>Pérdidas carga EDEMET</t>
  </si>
  <si>
    <t>DETALLE</t>
  </si>
  <si>
    <t>Energía Facturada (MWh) sin incluir AP</t>
  </si>
  <si>
    <t>Considerando Inversiones para Soterramiento</t>
  </si>
  <si>
    <t>SI</t>
  </si>
  <si>
    <t>INGRESO MÁXIMO PERMITIDO = IMP</t>
  </si>
  <si>
    <t>VALOR PRESENTE NETO - INGRESO MÁXIMO PERMITIDO</t>
  </si>
  <si>
    <t>SUB-TOTAL</t>
  </si>
  <si>
    <t>Miles de B/.</t>
  </si>
  <si>
    <t>Miles de Balboas</t>
  </si>
  <si>
    <t>INGRESO MÁXIMO PERMITIDO POR DISTRIBUCIÓN = IMPD</t>
  </si>
  <si>
    <t>INGRESO MÁXIMO PERMITIDO POR ALUMBRADO PÚBLICO = ALUMPU</t>
  </si>
  <si>
    <t>Balboas/MWh</t>
  </si>
  <si>
    <t>Pérdidas</t>
  </si>
  <si>
    <t>ENSA</t>
  </si>
  <si>
    <t>REGRESIONES CON DATOS DE LA FERC, AÑOS 2011-2012 - MODELO OLS MUESTRA COMPLETA</t>
  </si>
  <si>
    <t>1 - CAPEX y OPEX</t>
  </si>
  <si>
    <t xml:space="preserve">Variable </t>
  </si>
  <si>
    <t>Ln(DM)</t>
  </si>
  <si>
    <t>DATOS FÍSICOS EMPRESA</t>
  </si>
  <si>
    <t>Variable</t>
  </si>
  <si>
    <t>Unidad</t>
  </si>
  <si>
    <t>Base</t>
  </si>
  <si>
    <t>Proyección ENSA</t>
  </si>
  <si>
    <t>Jul 2016-Jun 2017</t>
  </si>
  <si>
    <t>Jul 2017-Jun 2018</t>
  </si>
  <si>
    <t>Demanda</t>
  </si>
  <si>
    <t>Energía Inyectada sin EDEMET con AP</t>
  </si>
  <si>
    <t>Cant.</t>
  </si>
  <si>
    <t>RESULTADOS CAPEX y OPEX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</si>
  <si>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</si>
  <si>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</si>
  <si>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</si>
  <si>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</si>
  <si>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</si>
  <si>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</si>
  <si>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</si>
  <si>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</si>
  <si>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Activos totales</t>
  </si>
  <si>
    <t>OPEX Totales</t>
  </si>
  <si>
    <t>TOTEX (Costos Totales)</t>
  </si>
  <si>
    <t>Inversión Totales</t>
  </si>
  <si>
    <t>2 - PÉRDIDAS</t>
  </si>
  <si>
    <t>EP</t>
  </si>
  <si>
    <t>Ln(MWhD)</t>
  </si>
  <si>
    <t>RESULTADOS PÉRDIDAS</t>
  </si>
  <si>
    <t>Porcentaje</t>
  </si>
  <si>
    <t>EP [MWh]</t>
  </si>
  <si>
    <t>EP [%]</t>
  </si>
  <si>
    <t>Distribución (AT)</t>
  </si>
  <si>
    <t>Electrificación Rural</t>
  </si>
  <si>
    <t>Energía Facturada (sin/AP)</t>
  </si>
  <si>
    <t>PD% * MWhD * CMM</t>
  </si>
  <si>
    <t>Pérdidas No Técnicas en Zonas Rojas (PNT)</t>
  </si>
  <si>
    <t>Pérdidas (incluye PNT)</t>
  </si>
  <si>
    <t>Valor Neto Base Capital Comercialización</t>
  </si>
  <si>
    <t>Valor Bruto Base de Capital Comercialización</t>
  </si>
  <si>
    <t>Valor Bruto Base Capital de Distribución</t>
  </si>
  <si>
    <t>Valor Bruto Activos Fijos Alumbrado Público</t>
  </si>
  <si>
    <t>Valor Neto Activos Fijos Alumbrado Público</t>
  </si>
  <si>
    <t>INVERSIONES TOTALES</t>
  </si>
  <si>
    <t>INVERSIONES NO CONTEMPLADAS EN ECUACIONES DE EFICIENCIA</t>
  </si>
  <si>
    <t>CONCEPTO</t>
  </si>
  <si>
    <t>B/./MWh</t>
  </si>
  <si>
    <t>Ln(Cl)</t>
  </si>
  <si>
    <t>Ln(DM/Cl)</t>
  </si>
  <si>
    <t>Ln(COM)</t>
  </si>
  <si>
    <t>Ln(OM)</t>
  </si>
  <si>
    <t>Jul 2018-Jun 2019</t>
  </si>
  <si>
    <t>Jul 2019-Jun 2020</t>
  </si>
  <si>
    <t>Jul 2020-Jun 2021</t>
  </si>
  <si>
    <t>Jul 2021-Jun 2022</t>
  </si>
  <si>
    <t>En USD jun 2017 con ajuste</t>
  </si>
  <si>
    <t>JUL18/ JUN19</t>
  </si>
  <si>
    <t>JUL19 / JUN20</t>
  </si>
  <si>
    <t>JUL20 / JUN21</t>
  </si>
  <si>
    <t>JUL21/ JUN22</t>
  </si>
  <si>
    <t>Expansión S/E Geehan</t>
  </si>
  <si>
    <t>Expansión S/E Calzada Larga</t>
  </si>
  <si>
    <t>Nuevo Transformador y EMB S/E Argos</t>
  </si>
  <si>
    <t>Expansión S/E Cerro Viento (Etapa 1)</t>
  </si>
  <si>
    <t>Expansión S/E Cerro Viento (Etapa 2)</t>
  </si>
  <si>
    <t>Expansión S/E Tocumen</t>
  </si>
  <si>
    <t>Reemplazo TX3 S/E Santa María</t>
  </si>
  <si>
    <t>Expansión S/E Santa María (Etapa 2)</t>
  </si>
  <si>
    <t>S/E Nuevo Tonosí</t>
  </si>
  <si>
    <t>Nuevo Transformador en S/E Santa Rita y líneas</t>
  </si>
  <si>
    <t>Expansión S/E María Chiquita</t>
  </si>
  <si>
    <t>ELECTRIFICACIÓN RURAL</t>
  </si>
  <si>
    <t>JULIO/18-JUNIO/22</t>
  </si>
  <si>
    <t>Total Comercialización</t>
  </si>
  <si>
    <t>Total Distribución</t>
  </si>
  <si>
    <t>INVERSIONES Ecuaciones</t>
  </si>
  <si>
    <t>Perdidas eficientes</t>
  </si>
  <si>
    <t>Factor de carga</t>
  </si>
  <si>
    <t>Energia EDEMET</t>
  </si>
  <si>
    <t>Energía ingresada al sist. Propio (eficiente)</t>
  </si>
  <si>
    <t>Perdidas carga EDEMET</t>
  </si>
  <si>
    <t>-Extensión en cable protegido trifásico e instalación de interruptores telecontrolados y recerrador en los circuitos de la Subestación 24 de Diciembre.</t>
  </si>
  <si>
    <t>-Reemplazo de 5 km de trocha por cable protegido trifásico en el circuito HE-1.</t>
  </si>
  <si>
    <t>-Centro de reflexión, interruptores telecontrolados y extensión en cable protegido trifásico para la confiabilidad del Aeropuerto, Hospital y proyecto habitacional Los Lagos en Colón.</t>
  </si>
  <si>
    <t>-Habilitación del patio de 34.5 kV de S/E Santa Rita, extensiones en cable protegido trifásico, instalación de recerradores e interruptores telecontrolados para confiabilidad de los circuitos de la Subestación Chilibre, Costa Arriba de Colón y Planta Potabilizadora de Sabanitas.</t>
  </si>
  <si>
    <t>-Nuevo circuito en cable protegido desde S/E Calzada Larga.</t>
  </si>
  <si>
    <t>-Mejora a la confiabilidad de Metetí.</t>
  </si>
  <si>
    <t>-Extensión de 3 km en cable protegido trifásico e instalación de recerrador en Chepo.</t>
  </si>
  <si>
    <t>-Extensión de 10 km en cable protegido monofásico para Salamanca.</t>
  </si>
  <si>
    <t>-Extensión de 10 km en cable protegido monofásico entre Boca de Cupe y Yapé.</t>
  </si>
  <si>
    <t>-Reemplazo y/o extensión trifásica de 12 km de red en cable protegido entre la “Y” de Escobal y Cuipo.</t>
  </si>
  <si>
    <t>-Extensión de 10 km de cable protegido trifásico desde Portobelo a Nombre de Dios y extensión de 6 km en cable protegido trifásico de Miramar a Cuango.</t>
  </si>
  <si>
    <t>-Medidores Inteligentes - 50 kW a 100 kW (862 medidores)</t>
  </si>
  <si>
    <t>Proyectos Especiales Distribucion</t>
  </si>
  <si>
    <t>Medicion inteligente</t>
  </si>
  <si>
    <t>Reposición y Mejoras de AP</t>
  </si>
  <si>
    <t>ACT.JUN18</t>
  </si>
  <si>
    <t>Energía facturada AP</t>
  </si>
  <si>
    <t>JUL18 - JUN19</t>
  </si>
  <si>
    <t>JUL19 - JUN20</t>
  </si>
  <si>
    <t>JUL20 - JUN21</t>
  </si>
  <si>
    <t>JUL21 - JUN22</t>
  </si>
  <si>
    <t>2018           2do Sem</t>
  </si>
  <si>
    <t>2022            1er Sem</t>
  </si>
  <si>
    <t>2019           2do Sem</t>
  </si>
  <si>
    <t>2019           1er Sem</t>
  </si>
  <si>
    <t>2020           1er Sem</t>
  </si>
  <si>
    <t>2020           2do Sem</t>
  </si>
  <si>
    <t>2021           1er Sem</t>
  </si>
  <si>
    <t>2021           2do Sem</t>
  </si>
  <si>
    <t>INGRESO MÁXIMO PERMITIDO</t>
  </si>
  <si>
    <t>IMPCO - Ingreso Máximo Permitido por Comercialización</t>
  </si>
  <si>
    <t>INVNE - Descuento por Inversiones no Ejecutadas en periodo anterior</t>
  </si>
  <si>
    <t xml:space="preserve">IMP </t>
  </si>
  <si>
    <t>IMP S/Pérdidas</t>
  </si>
  <si>
    <t>IMP TOTAL</t>
  </si>
  <si>
    <t>Iluminación para pasos peatonales: 101 pasos elevados, alcance típico de 4 postes con su luminaria - LED</t>
  </si>
  <si>
    <t xml:space="preserve">Iluminación Carretera Panamericana en los sitios poblados del tramo Tortí-Metetí, aproximadamente 400 luminarias LED equivalente a 250 W APS </t>
  </si>
  <si>
    <t>2018                 2do Sem</t>
  </si>
  <si>
    <t>EXPANSIÓN EN S/E AT Y LINEAS AT</t>
  </si>
  <si>
    <t>Caso Alto</t>
  </si>
  <si>
    <t>Caso Bajo</t>
  </si>
  <si>
    <t>Prima por Riesgo País</t>
  </si>
  <si>
    <t>Tasa Inflación EUA</t>
  </si>
  <si>
    <t>VP-IMPCO - COMERCIALIZACIÓN</t>
  </si>
  <si>
    <t>ENERGIA FACTURADA (sin AP)</t>
  </si>
  <si>
    <t>II Sem</t>
  </si>
  <si>
    <t>I Sem</t>
  </si>
  <si>
    <t>Crecimiento Vegetativo - Sodio</t>
  </si>
  <si>
    <t>Crecimiento Vegetativo - LED</t>
  </si>
  <si>
    <t>Crecimiento Vegetativo</t>
  </si>
  <si>
    <t>Alumbrado Corredores LED</t>
  </si>
  <si>
    <t xml:space="preserve">Proyectos Especiales Luminarias LED </t>
  </si>
  <si>
    <t xml:space="preserve">Proyectos Especiales </t>
  </si>
  <si>
    <t>CANTIDAD DE LUMINARIAS ADICIONALES (ALUMBRADO PÚBLICO)</t>
  </si>
  <si>
    <t>INVERSIÓN EN ALUMBRADO PÚBLICO</t>
  </si>
  <si>
    <t>Proyectos especiales</t>
  </si>
  <si>
    <t xml:space="preserve">TOTAL </t>
  </si>
  <si>
    <t>LUMINARIAS QUE SE INCORPORAN</t>
  </si>
  <si>
    <t>JUL18 / JUN19</t>
  </si>
  <si>
    <t>JUL21 / JUN22</t>
  </si>
  <si>
    <t>TOTAL LUMINARIAS ADICIONALES</t>
  </si>
  <si>
    <t>Costo Capital Propio después de Impuestos</t>
  </si>
  <si>
    <t>Proyecto especiales</t>
  </si>
  <si>
    <t>Equipos para ETESA S/E24 dic pendiente de reembolso Notas VPPM-219-18 y DSAN-3123-17</t>
  </si>
  <si>
    <t xml:space="preserve">INVERSION EN SUBESTACIONES Y LÍNEAS EN AT NO CONTEMPLADAS EN LAS ECUACIONES DE EFICIENCIA </t>
  </si>
  <si>
    <t xml:space="preserve">INVERSION EN OTROS CIRCUITOS NO CONTEMPLADAS EN LAS ECUACIONES DE EFICIENCIA </t>
  </si>
  <si>
    <t>INVERSIONES EN ALUMBRADO PÚBLICO</t>
  </si>
  <si>
    <t>IPSD - Ingreso Máximo Permitido por Distribución</t>
  </si>
  <si>
    <t>ALUMPU - Ingreso Máximo Permitido por Alumbrado Público</t>
  </si>
  <si>
    <t>IPPD - Ingreso Máximo Permitido por Pérdidas en Distribución</t>
  </si>
  <si>
    <t xml:space="preserve">IMP- Ingreso Máximo Permitido </t>
  </si>
  <si>
    <t>VP-IPSD - DISTRIBUCIÓN</t>
  </si>
  <si>
    <t>VP-ALUMPU - ALUMBRADO PÚBLICO</t>
  </si>
  <si>
    <t>VP-IPPD - PÉRDIDAS DE DISTRIBUCIÓN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</si>
  <si>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</si>
  <si>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</si>
  <si>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INGRESO MÁXIMO PERMITIDO POR COMERCIALIZACIÓN = IMPCO</t>
  </si>
  <si>
    <t>Unidades</t>
  </si>
  <si>
    <t>PNT</t>
  </si>
  <si>
    <t>FA</t>
  </si>
  <si>
    <t>TASA DE RENTABILIDAD PARA IMP</t>
  </si>
  <si>
    <t>WACC REAL ANTES. IMPUESTOS</t>
  </si>
  <si>
    <t>En USD 2017 sin ajuste</t>
  </si>
  <si>
    <t>Medidores Inteligentes -hasta 100 kW (180 medidores)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</si>
</sst>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0.0"/>
    <numFmt numFmtId="168" formatCode="0.0000"/>
    <numFmt numFmtId="169" formatCode="0.0%"/>
    <numFmt numFmtId="170" formatCode="0.00000"/>
    <numFmt numFmtId="171" formatCode="#,##0.0000"/>
    <numFmt numFmtId="172" formatCode="0.0000000%"/>
    <numFmt numFmtId="173" formatCode="#,##0.000"/>
    <numFmt numFmtId="174" formatCode="#,##0.00_ ;[Red]\-#,##0.00\ "/>
    <numFmt numFmtId="175" formatCode="#,##0.00000"/>
    <numFmt numFmtId="176" formatCode="0.0000%"/>
    <numFmt numFmtId="177" formatCode="#,##0.00\ ;[Red]\(#,##0.00\)"/>
    <numFmt numFmtId="178" formatCode="_ * #,##0.000_ ;_ * \-#,##0.000_ ;_ * &quot;-&quot;??_ ;_ @_ "/>
    <numFmt numFmtId="179" formatCode="0.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 tint="0.14999847407452621"/>
      <name val="Times New Roman"/>
      <family val="1"/>
    </font>
    <font>
      <sz val="11"/>
      <color theme="1" tint="0.1499984740745262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5"/>
      <name val="Times New Roman"/>
      <family val="1"/>
    </font>
    <font>
      <b/>
      <sz val="11"/>
      <color theme="6" tint="-0.4999847407452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color theme="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/>
      <top style="medium">
        <color theme="4"/>
      </top>
      <bottom/>
      <diagonal/>
    </border>
  </borders>
  <cellStyleXfs count="20">
    <xf numFmtId="0" fontId="0" fillId="0" borderId="0"/>
    <xf numFmtId="165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9">
    <xf numFmtId="0" fontId="0" fillId="0" borderId="0" xfId="0"/>
    <xf numFmtId="0" fontId="10" fillId="8" borderId="17" xfId="8" applyNumberFormat="1" applyFont="1" applyFill="1" applyBorder="1" applyAlignment="1" applyProtection="1">
      <alignment horizontal="center" vertical="center" wrapText="1"/>
    </xf>
    <xf numFmtId="17" fontId="10" fillId="8" borderId="18" xfId="8" applyNumberFormat="1" applyFont="1" applyFill="1" applyBorder="1" applyAlignment="1" applyProtection="1">
      <alignment horizontal="center" vertical="center" wrapText="1"/>
    </xf>
    <xf numFmtId="49" fontId="10" fillId="8" borderId="18" xfId="8" applyNumberFormat="1" applyFont="1" applyFill="1" applyBorder="1" applyAlignment="1" applyProtection="1">
      <alignment horizontal="center" vertical="center" wrapText="1"/>
    </xf>
    <xf numFmtId="49" fontId="10" fillId="8" borderId="19" xfId="8" applyNumberFormat="1" applyFont="1" applyFill="1" applyBorder="1" applyAlignment="1" applyProtection="1">
      <alignment horizontal="center" vertical="center" wrapText="1"/>
    </xf>
    <xf numFmtId="2" fontId="10" fillId="8" borderId="17" xfId="8" applyNumberFormat="1" applyFont="1" applyFill="1" applyBorder="1" applyAlignment="1" applyProtection="1">
      <alignment horizontal="center" vertical="center" wrapText="1"/>
    </xf>
    <xf numFmtId="2" fontId="10" fillId="8" borderId="18" xfId="8" applyNumberFormat="1" applyFont="1" applyFill="1" applyBorder="1" applyAlignment="1" applyProtection="1">
      <alignment horizontal="center" vertical="center" wrapText="1"/>
    </xf>
    <xf numFmtId="2" fontId="10" fillId="8" borderId="19" xfId="8" applyNumberFormat="1" applyFont="1" applyFill="1" applyBorder="1" applyAlignment="1" applyProtection="1">
      <alignment horizontal="center" vertical="center" wrapText="1"/>
    </xf>
    <xf numFmtId="2" fontId="11" fillId="6" borderId="20" xfId="9" applyNumberFormat="1" applyFont="1" applyFill="1" applyBorder="1" applyAlignment="1">
      <alignment horizontal="center"/>
    </xf>
    <xf numFmtId="2" fontId="12" fillId="6" borderId="20" xfId="9" applyNumberFormat="1" applyFont="1" applyFill="1" applyBorder="1" applyAlignment="1">
      <alignment horizontal="left"/>
    </xf>
    <xf numFmtId="2" fontId="12" fillId="6" borderId="23" xfId="9" applyNumberFormat="1" applyFont="1" applyFill="1" applyBorder="1" applyAlignment="1">
      <alignment horizontal="left"/>
    </xf>
    <xf numFmtId="0" fontId="10" fillId="7" borderId="1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9" fillId="0" borderId="3" xfId="0" applyFont="1" applyBorder="1"/>
    <xf numFmtId="170" fontId="9" fillId="0" borderId="3" xfId="0" applyNumberFormat="1" applyFont="1" applyBorder="1" applyAlignment="1">
      <alignment horizontal="center"/>
    </xf>
    <xf numFmtId="170" fontId="9" fillId="0" borderId="3" xfId="0" applyNumberFormat="1" applyFont="1" applyFill="1" applyBorder="1" applyAlignment="1">
      <alignment horizontal="center"/>
    </xf>
    <xf numFmtId="0" fontId="15" fillId="0" borderId="3" xfId="0" applyFont="1" applyBorder="1"/>
    <xf numFmtId="170" fontId="15" fillId="0" borderId="3" xfId="0" applyNumberFormat="1" applyFont="1" applyBorder="1" applyAlignment="1">
      <alignment horizontal="center"/>
    </xf>
    <xf numFmtId="0" fontId="9" fillId="0" borderId="0" xfId="0" applyFont="1"/>
    <xf numFmtId="1" fontId="9" fillId="0" borderId="0" xfId="0" applyNumberFormat="1" applyFont="1" applyFill="1" applyBorder="1"/>
    <xf numFmtId="0" fontId="15" fillId="2" borderId="3" xfId="0" applyFont="1" applyFill="1" applyBorder="1" applyAlignment="1">
      <alignment horizontal="center"/>
    </xf>
    <xf numFmtId="0" fontId="15" fillId="0" borderId="7" xfId="0" applyFont="1" applyBorder="1"/>
    <xf numFmtId="0" fontId="9" fillId="0" borderId="4" xfId="0" applyFont="1" applyBorder="1"/>
    <xf numFmtId="1" fontId="9" fillId="0" borderId="5" xfId="0" applyNumberFormat="1" applyFont="1" applyFill="1" applyBorder="1"/>
    <xf numFmtId="1" fontId="9" fillId="0" borderId="6" xfId="0" applyNumberFormat="1" applyFont="1" applyFill="1" applyBorder="1"/>
    <xf numFmtId="0" fontId="15" fillId="0" borderId="7" xfId="0" applyFont="1" applyFill="1" applyBorder="1"/>
    <xf numFmtId="166" fontId="9" fillId="0" borderId="8" xfId="1" applyNumberFormat="1" applyFont="1" applyBorder="1"/>
    <xf numFmtId="0" fontId="9" fillId="0" borderId="2" xfId="0" applyFont="1" applyBorder="1"/>
    <xf numFmtId="165" fontId="9" fillId="0" borderId="3" xfId="1" applyFont="1" applyBorder="1"/>
    <xf numFmtId="176" fontId="15" fillId="4" borderId="3" xfId="3" applyNumberFormat="1" applyFont="1" applyFill="1" applyBorder="1" applyAlignment="1">
      <alignment horizontal="center" vertical="justify"/>
    </xf>
    <xf numFmtId="0" fontId="15" fillId="0" borderId="0" xfId="0" applyFont="1"/>
    <xf numFmtId="0" fontId="16" fillId="0" borderId="0" xfId="0" applyFont="1"/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/>
    <xf numFmtId="4" fontId="15" fillId="0" borderId="21" xfId="1" applyNumberFormat="1" applyFont="1" applyFill="1" applyBorder="1"/>
    <xf numFmtId="4" fontId="15" fillId="0" borderId="22" xfId="1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0" fontId="9" fillId="0" borderId="0" xfId="0" applyFont="1" applyFill="1" applyBorder="1"/>
    <xf numFmtId="0" fontId="15" fillId="0" borderId="8" xfId="0" applyFont="1" applyFill="1" applyBorder="1"/>
    <xf numFmtId="166" fontId="9" fillId="0" borderId="10" xfId="1" applyNumberFormat="1" applyFont="1" applyBorder="1"/>
    <xf numFmtId="0" fontId="15" fillId="0" borderId="2" xfId="0" applyFont="1" applyFill="1" applyBorder="1"/>
    <xf numFmtId="165" fontId="15" fillId="0" borderId="3" xfId="1" applyFont="1" applyBorder="1"/>
    <xf numFmtId="0" fontId="9" fillId="0" borderId="0" xfId="0" applyFont="1" applyBorder="1"/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174" fontId="9" fillId="0" borderId="22" xfId="0" applyNumberFormat="1" applyFont="1" applyFill="1" applyBorder="1" applyAlignment="1">
      <alignment horizontal="center" vertical="center"/>
    </xf>
    <xf numFmtId="10" fontId="16" fillId="0" borderId="0" xfId="3" applyNumberFormat="1" applyFont="1" applyAlignment="1">
      <alignment horizontal="center"/>
    </xf>
    <xf numFmtId="2" fontId="9" fillId="0" borderId="0" xfId="0" applyNumberFormat="1" applyFont="1"/>
    <xf numFmtId="3" fontId="16" fillId="0" borderId="3" xfId="0" applyNumberFormat="1" applyFont="1" applyBorder="1" applyAlignment="1">
      <alignment horizontal="center"/>
    </xf>
    <xf numFmtId="0" fontId="9" fillId="0" borderId="20" xfId="0" applyFont="1" applyFill="1" applyBorder="1"/>
    <xf numFmtId="0" fontId="15" fillId="0" borderId="0" xfId="0" applyFont="1" applyBorder="1"/>
    <xf numFmtId="4" fontId="9" fillId="0" borderId="0" xfId="0" applyNumberFormat="1" applyFont="1"/>
    <xf numFmtId="0" fontId="9" fillId="0" borderId="21" xfId="0" applyFont="1" applyFill="1" applyBorder="1"/>
    <xf numFmtId="0" fontId="9" fillId="0" borderId="22" xfId="0" applyFont="1" applyFill="1" applyBorder="1"/>
    <xf numFmtId="4" fontId="9" fillId="0" borderId="21" xfId="0" applyNumberFormat="1" applyFont="1" applyFill="1" applyBorder="1"/>
    <xf numFmtId="4" fontId="9" fillId="0" borderId="22" xfId="0" applyNumberFormat="1" applyFont="1" applyFill="1" applyBorder="1"/>
    <xf numFmtId="3" fontId="9" fillId="0" borderId="21" xfId="0" applyNumberFormat="1" applyFont="1" applyFill="1" applyBorder="1"/>
    <xf numFmtId="3" fontId="9" fillId="0" borderId="22" xfId="0" applyNumberFormat="1" applyFont="1" applyFill="1" applyBorder="1"/>
    <xf numFmtId="4" fontId="15" fillId="0" borderId="21" xfId="0" applyNumberFormat="1" applyFont="1" applyFill="1" applyBorder="1"/>
    <xf numFmtId="4" fontId="15" fillId="0" borderId="22" xfId="0" applyNumberFormat="1" applyFont="1" applyFill="1" applyBorder="1"/>
    <xf numFmtId="0" fontId="9" fillId="0" borderId="20" xfId="0" applyFont="1" applyBorder="1"/>
    <xf numFmtId="0" fontId="9" fillId="0" borderId="21" xfId="0" applyFont="1" applyBorder="1"/>
    <xf numFmtId="4" fontId="15" fillId="0" borderId="24" xfId="0" applyNumberFormat="1" applyFont="1" applyFill="1" applyBorder="1"/>
    <xf numFmtId="4" fontId="15" fillId="0" borderId="25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0" fontId="9" fillId="0" borderId="3" xfId="0" quotePrefix="1" applyFont="1" applyBorder="1" applyAlignment="1">
      <alignment horizontal="left"/>
    </xf>
    <xf numFmtId="17" fontId="15" fillId="0" borderId="3" xfId="0" applyNumberFormat="1" applyFont="1" applyBorder="1" applyAlignment="1">
      <alignment horizontal="center"/>
    </xf>
    <xf numFmtId="3" fontId="9" fillId="0" borderId="0" xfId="0" applyNumberFormat="1" applyFont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10" fontId="15" fillId="0" borderId="1" xfId="3" applyNumberFormat="1" applyFont="1" applyBorder="1"/>
    <xf numFmtId="3" fontId="9" fillId="0" borderId="3" xfId="0" applyNumberFormat="1" applyFont="1" applyBorder="1"/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10" fontId="15" fillId="0" borderId="13" xfId="3" applyNumberFormat="1" applyFont="1" applyBorder="1"/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/>
    <xf numFmtId="169" fontId="9" fillId="0" borderId="0" xfId="3" applyNumberFormat="1" applyFont="1" applyBorder="1"/>
    <xf numFmtId="10" fontId="15" fillId="0" borderId="15" xfId="3" applyNumberFormat="1" applyFont="1" applyBorder="1"/>
    <xf numFmtId="10" fontId="15" fillId="0" borderId="0" xfId="3" applyNumberFormat="1" applyFont="1" applyBorder="1"/>
    <xf numFmtId="10" fontId="9" fillId="0" borderId="3" xfId="3" applyNumberFormat="1" applyFont="1" applyBorder="1"/>
    <xf numFmtId="169" fontId="9" fillId="0" borderId="3" xfId="3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0" fontId="17" fillId="0" borderId="0" xfId="0" applyFont="1"/>
    <xf numFmtId="166" fontId="9" fillId="0" borderId="0" xfId="0" applyNumberFormat="1" applyFont="1" applyFill="1" applyBorder="1"/>
    <xf numFmtId="167" fontId="9" fillId="0" borderId="0" xfId="0" applyNumberFormat="1" applyFont="1" applyFill="1" applyBorder="1"/>
    <xf numFmtId="3" fontId="9" fillId="0" borderId="0" xfId="0" applyNumberFormat="1" applyFont="1" applyFill="1" applyBorder="1"/>
    <xf numFmtId="166" fontId="17" fillId="0" borderId="0" xfId="1" applyNumberFormat="1" applyFont="1" applyFill="1" applyBorder="1"/>
    <xf numFmtId="0" fontId="15" fillId="0" borderId="0" xfId="0" applyFont="1" applyAlignment="1">
      <alignment horizontal="center"/>
    </xf>
    <xf numFmtId="0" fontId="18" fillId="0" borderId="0" xfId="4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20" fillId="0" borderId="0" xfId="4" applyFont="1" applyAlignment="1">
      <alignment horizontal="left" vertical="center" wrapText="1"/>
    </xf>
    <xf numFmtId="0" fontId="20" fillId="0" borderId="0" xfId="4" applyFont="1" applyAlignment="1">
      <alignment horizontal="center" vertical="center" wrapText="1"/>
    </xf>
    <xf numFmtId="0" fontId="15" fillId="0" borderId="0" xfId="4" applyFont="1" applyFill="1" applyAlignment="1">
      <alignment horizontal="center" vertical="center" wrapText="1"/>
    </xf>
    <xf numFmtId="0" fontId="19" fillId="0" borderId="0" xfId="4" applyFont="1"/>
    <xf numFmtId="0" fontId="14" fillId="0" borderId="0" xfId="0" applyFont="1" applyAlignment="1">
      <alignment horizontal="left" vertical="center"/>
    </xf>
    <xf numFmtId="168" fontId="14" fillId="0" borderId="0" xfId="0" applyNumberFormat="1" applyFont="1" applyFill="1" applyAlignment="1">
      <alignment horizontal="center" vertical="center"/>
    </xf>
    <xf numFmtId="2" fontId="9" fillId="0" borderId="0" xfId="4" applyNumberFormat="1" applyFont="1" applyFill="1" applyAlignment="1">
      <alignment horizontal="center" vertical="center"/>
    </xf>
    <xf numFmtId="2" fontId="19" fillId="0" borderId="0" xfId="4" applyNumberFormat="1" applyFont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4" applyFont="1" applyAlignment="1">
      <alignment horizontal="left" vertical="center"/>
    </xf>
    <xf numFmtId="4" fontId="9" fillId="5" borderId="0" xfId="4" applyNumberFormat="1" applyFont="1" applyFill="1" applyAlignment="1">
      <alignment horizontal="center" vertical="center"/>
    </xf>
    <xf numFmtId="4" fontId="23" fillId="5" borderId="0" xfId="4" applyNumberFormat="1" applyFont="1" applyFill="1" applyAlignment="1">
      <alignment horizontal="center" vertical="center"/>
    </xf>
    <xf numFmtId="3" fontId="9" fillId="5" borderId="0" xfId="4" applyNumberFormat="1" applyFont="1" applyFill="1" applyAlignment="1">
      <alignment horizontal="center" vertical="center"/>
    </xf>
    <xf numFmtId="3" fontId="19" fillId="5" borderId="0" xfId="4" applyNumberFormat="1" applyFont="1" applyFill="1" applyAlignment="1">
      <alignment horizontal="center" vertical="center"/>
    </xf>
    <xf numFmtId="3" fontId="24" fillId="5" borderId="0" xfId="4" applyNumberFormat="1" applyFont="1" applyFill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19" fillId="0" borderId="0" xfId="4" applyFont="1" applyAlignment="1">
      <alignment vertical="center"/>
    </xf>
    <xf numFmtId="166" fontId="14" fillId="0" borderId="0" xfId="5" applyNumberFormat="1" applyFont="1" applyAlignment="1">
      <alignment horizontal="center" vertical="center"/>
    </xf>
    <xf numFmtId="0" fontId="19" fillId="0" borderId="0" xfId="4" applyFont="1" applyFill="1" applyAlignment="1">
      <alignment vertical="center"/>
    </xf>
    <xf numFmtId="166" fontId="14" fillId="0" borderId="0" xfId="5" applyNumberFormat="1" applyFont="1" applyFill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166" fontId="26" fillId="0" borderId="0" xfId="5" applyNumberFormat="1" applyFont="1" applyFill="1" applyBorder="1" applyAlignment="1">
      <alignment horizontal="center" vertical="center"/>
    </xf>
    <xf numFmtId="169" fontId="26" fillId="0" borderId="0" xfId="6" applyNumberFormat="1" applyFont="1" applyFill="1" applyBorder="1" applyAlignment="1">
      <alignment horizontal="center" vertical="center"/>
    </xf>
    <xf numFmtId="0" fontId="27" fillId="0" borderId="0" xfId="4" applyFont="1" applyFill="1" applyAlignment="1">
      <alignment vertical="center"/>
    </xf>
    <xf numFmtId="166" fontId="27" fillId="0" borderId="0" xfId="5" applyNumberFormat="1" applyFont="1" applyFill="1" applyAlignment="1">
      <alignment horizontal="center" vertical="center"/>
    </xf>
    <xf numFmtId="0" fontId="19" fillId="0" borderId="0" xfId="4" applyFont="1" applyAlignment="1">
      <alignment horizontal="left" vertical="center" indent="1"/>
    </xf>
    <xf numFmtId="0" fontId="19" fillId="0" borderId="0" xfId="4" applyFont="1" applyFill="1" applyBorder="1" applyAlignment="1">
      <alignment horizontal="left" vertical="center" indent="2"/>
    </xf>
    <xf numFmtId="168" fontId="9" fillId="0" borderId="0" xfId="2" applyNumberFormat="1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left"/>
    </xf>
    <xf numFmtId="0" fontId="1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indent="2"/>
    </xf>
    <xf numFmtId="0" fontId="9" fillId="0" borderId="0" xfId="4" applyFont="1" applyFill="1" applyBorder="1" applyAlignment="1"/>
    <xf numFmtId="0" fontId="19" fillId="0" borderId="0" xfId="4" applyFont="1" applyFill="1" applyBorder="1"/>
    <xf numFmtId="0" fontId="19" fillId="0" borderId="0" xfId="4" applyFont="1" applyAlignment="1">
      <alignment horizontal="left" vertical="center" indent="3"/>
    </xf>
    <xf numFmtId="10" fontId="9" fillId="0" borderId="0" xfId="3" applyNumberFormat="1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172" fontId="19" fillId="0" borderId="0" xfId="4" applyNumberFormat="1" applyFont="1" applyFill="1" applyBorder="1"/>
    <xf numFmtId="10" fontId="9" fillId="0" borderId="0" xfId="6" applyNumberFormat="1" applyFont="1" applyFill="1" applyBorder="1" applyAlignment="1">
      <alignment horizontal="center"/>
    </xf>
    <xf numFmtId="0" fontId="15" fillId="0" borderId="0" xfId="4" applyFont="1" applyFill="1" applyBorder="1"/>
    <xf numFmtId="0" fontId="19" fillId="0" borderId="0" xfId="4" applyFont="1" applyFill="1" applyBorder="1" applyAlignment="1">
      <alignment horizontal="left" indent="2"/>
    </xf>
    <xf numFmtId="178" fontId="9" fillId="0" borderId="0" xfId="5" applyNumberFormat="1" applyFont="1" applyAlignment="1">
      <alignment horizontal="center" vertical="center"/>
    </xf>
    <xf numFmtId="0" fontId="19" fillId="0" borderId="0" xfId="4" applyFont="1" applyFill="1" applyBorder="1" applyAlignment="1">
      <alignment horizontal="left" vertical="justify" indent="2"/>
    </xf>
    <xf numFmtId="166" fontId="14" fillId="0" borderId="0" xfId="5" applyNumberFormat="1" applyFont="1" applyFill="1" applyBorder="1"/>
    <xf numFmtId="166" fontId="19" fillId="0" borderId="0" xfId="4" applyNumberFormat="1" applyFont="1" applyFill="1" applyBorder="1"/>
    <xf numFmtId="9" fontId="14" fillId="0" borderId="0" xfId="6" applyFont="1" applyFill="1" applyAlignment="1">
      <alignment horizontal="center" vertical="center"/>
    </xf>
    <xf numFmtId="166" fontId="14" fillId="0" borderId="0" xfId="6" applyNumberFormat="1" applyFont="1" applyFill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166" fontId="20" fillId="0" borderId="0" xfId="4" applyNumberFormat="1" applyFont="1" applyFill="1" applyBorder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horizontal="center" vertical="center"/>
    </xf>
    <xf numFmtId="166" fontId="19" fillId="0" borderId="0" xfId="4" applyNumberFormat="1" applyFont="1" applyFill="1" applyBorder="1" applyAlignment="1">
      <alignment horizontal="center" vertical="center"/>
    </xf>
    <xf numFmtId="169" fontId="14" fillId="0" borderId="0" xfId="6" applyNumberFormat="1" applyFont="1" applyFill="1" applyBorder="1" applyAlignment="1">
      <alignment horizontal="center" vertical="center"/>
    </xf>
    <xf numFmtId="10" fontId="14" fillId="0" borderId="0" xfId="6" applyNumberFormat="1" applyFont="1" applyFill="1" applyBorder="1" applyAlignment="1">
      <alignment horizontal="center" vertical="center"/>
    </xf>
    <xf numFmtId="4" fontId="11" fillId="6" borderId="24" xfId="1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9" fillId="0" borderId="8" xfId="0" applyFont="1" applyBorder="1"/>
    <xf numFmtId="0" fontId="9" fillId="0" borderId="8" xfId="0" applyFont="1" applyFill="1" applyBorder="1"/>
    <xf numFmtId="0" fontId="9" fillId="0" borderId="5" xfId="0" applyFont="1" applyBorder="1"/>
    <xf numFmtId="0" fontId="9" fillId="0" borderId="7" xfId="0" applyFont="1" applyBorder="1" applyAlignment="1">
      <alignment horizontal="center"/>
    </xf>
    <xf numFmtId="165" fontId="9" fillId="0" borderId="8" xfId="1" applyNumberFormat="1" applyFont="1" applyFill="1" applyBorder="1"/>
    <xf numFmtId="165" fontId="9" fillId="0" borderId="8" xfId="1" applyFont="1" applyBorder="1"/>
    <xf numFmtId="0" fontId="9" fillId="0" borderId="10" xfId="0" applyFont="1" applyBorder="1"/>
    <xf numFmtId="0" fontId="9" fillId="0" borderId="10" xfId="0" applyFont="1" applyFill="1" applyBorder="1"/>
    <xf numFmtId="166" fontId="9" fillId="0" borderId="10" xfId="0" applyNumberFormat="1" applyFont="1" applyBorder="1"/>
    <xf numFmtId="0" fontId="15" fillId="0" borderId="2" xfId="0" applyFont="1" applyBorder="1"/>
    <xf numFmtId="166" fontId="15" fillId="0" borderId="3" xfId="0" applyNumberFormat="1" applyFont="1" applyFill="1" applyBorder="1"/>
    <xf numFmtId="166" fontId="15" fillId="0" borderId="2" xfId="0" applyNumberFormat="1" applyFont="1" applyFill="1" applyBorder="1"/>
    <xf numFmtId="166" fontId="15" fillId="0" borderId="3" xfId="0" applyNumberFormat="1" applyFont="1" applyBorder="1"/>
    <xf numFmtId="0" fontId="9" fillId="0" borderId="5" xfId="0" applyFont="1" applyBorder="1" applyAlignment="1">
      <alignment horizontal="center"/>
    </xf>
    <xf numFmtId="165" fontId="9" fillId="0" borderId="5" xfId="1" applyNumberFormat="1" applyFont="1" applyFill="1" applyBorder="1"/>
    <xf numFmtId="165" fontId="9" fillId="0" borderId="10" xfId="1" applyNumberFormat="1" applyFont="1" applyFill="1" applyBorder="1"/>
    <xf numFmtId="0" fontId="9" fillId="0" borderId="3" xfId="0" applyFont="1" applyFill="1" applyBorder="1"/>
    <xf numFmtId="0" fontId="9" fillId="0" borderId="3" xfId="0" applyFont="1" applyFill="1" applyBorder="1" applyAlignment="1">
      <alignment horizontal="center"/>
    </xf>
    <xf numFmtId="3" fontId="11" fillId="6" borderId="20" xfId="9" applyNumberFormat="1" applyFont="1" applyFill="1" applyBorder="1" applyAlignment="1"/>
    <xf numFmtId="3" fontId="12" fillId="6" borderId="20" xfId="9" applyNumberFormat="1" applyFont="1" applyFill="1" applyBorder="1" applyAlignment="1">
      <alignment wrapText="1"/>
    </xf>
    <xf numFmtId="3" fontId="11" fillId="6" borderId="23" xfId="9" applyNumberFormat="1" applyFont="1" applyFill="1" applyBorder="1" applyAlignment="1">
      <alignment vertical="center" wrapText="1"/>
    </xf>
    <xf numFmtId="0" fontId="11" fillId="6" borderId="23" xfId="8" applyNumberFormat="1" applyFont="1" applyFill="1" applyBorder="1" applyAlignment="1" applyProtection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173" fontId="30" fillId="3" borderId="8" xfId="0" applyNumberFormat="1" applyFont="1" applyFill="1" applyBorder="1"/>
    <xf numFmtId="3" fontId="16" fillId="3" borderId="8" xfId="0" applyNumberFormat="1" applyFont="1" applyFill="1" applyBorder="1"/>
    <xf numFmtId="3" fontId="9" fillId="0" borderId="8" xfId="0" applyNumberFormat="1" applyFont="1" applyFill="1" applyBorder="1"/>
    <xf numFmtId="4" fontId="9" fillId="0" borderId="8" xfId="0" applyNumberFormat="1" applyFont="1" applyFill="1" applyBorder="1"/>
    <xf numFmtId="4" fontId="9" fillId="0" borderId="10" xfId="0" applyNumberFormat="1" applyFont="1" applyFill="1" applyBorder="1"/>
    <xf numFmtId="4" fontId="9" fillId="0" borderId="13" xfId="0" applyNumberFormat="1" applyFont="1" applyFill="1" applyBorder="1"/>
    <xf numFmtId="0" fontId="15" fillId="0" borderId="4" xfId="0" applyFont="1" applyBorder="1"/>
    <xf numFmtId="0" fontId="15" fillId="0" borderId="9" xfId="0" applyFont="1" applyFill="1" applyBorder="1"/>
    <xf numFmtId="3" fontId="16" fillId="0" borderId="10" xfId="0" applyNumberFormat="1" applyFont="1" applyFill="1" applyBorder="1"/>
    <xf numFmtId="165" fontId="9" fillId="0" borderId="0" xfId="1" applyFont="1" applyBorder="1"/>
    <xf numFmtId="171" fontId="16" fillId="0" borderId="0" xfId="0" applyNumberFormat="1" applyFont="1" applyFill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right"/>
    </xf>
    <xf numFmtId="17" fontId="9" fillId="0" borderId="8" xfId="0" applyNumberFormat="1" applyFont="1" applyBorder="1" applyAlignment="1">
      <alignment horizontal="left"/>
    </xf>
    <xf numFmtId="17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/>
    </xf>
    <xf numFmtId="10" fontId="31" fillId="0" borderId="8" xfId="3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12" xfId="0" applyFont="1" applyBorder="1"/>
    <xf numFmtId="10" fontId="16" fillId="0" borderId="11" xfId="3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9" fillId="0" borderId="0" xfId="0" applyFont="1" applyBorder="1" applyAlignment="1"/>
    <xf numFmtId="3" fontId="11" fillId="6" borderId="21" xfId="10" applyNumberFormat="1" applyFont="1" applyFill="1" applyBorder="1" applyAlignment="1">
      <alignment horizontal="center" vertical="center"/>
    </xf>
    <xf numFmtId="3" fontId="12" fillId="6" borderId="21" xfId="9" applyNumberFormat="1" applyFont="1" applyFill="1" applyBorder="1" applyAlignment="1">
      <alignment horizontal="center" vertical="center"/>
    </xf>
    <xf numFmtId="1" fontId="11" fillId="6" borderId="24" xfId="10" applyNumberFormat="1" applyFont="1" applyFill="1" applyBorder="1" applyAlignment="1" applyProtection="1">
      <alignment horizontal="center" vertical="center"/>
    </xf>
    <xf numFmtId="3" fontId="11" fillId="6" borderId="21" xfId="9" applyNumberFormat="1" applyFont="1" applyFill="1" applyBorder="1" applyAlignment="1">
      <alignment horizontal="center"/>
    </xf>
    <xf numFmtId="3" fontId="11" fillId="6" borderId="22" xfId="9" applyNumberFormat="1" applyFont="1" applyFill="1" applyBorder="1" applyAlignment="1">
      <alignment horizontal="center"/>
    </xf>
    <xf numFmtId="3" fontId="12" fillId="6" borderId="21" xfId="9" applyNumberFormat="1" applyFont="1" applyFill="1" applyBorder="1" applyAlignment="1">
      <alignment horizontal="center"/>
    </xf>
    <xf numFmtId="3" fontId="12" fillId="6" borderId="22" xfId="9" applyNumberFormat="1" applyFont="1" applyFill="1" applyBorder="1" applyAlignment="1">
      <alignment horizontal="center"/>
    </xf>
    <xf numFmtId="3" fontId="12" fillId="6" borderId="24" xfId="9" applyNumberFormat="1" applyFont="1" applyFill="1" applyBorder="1" applyAlignment="1">
      <alignment horizontal="center"/>
    </xf>
    <xf numFmtId="3" fontId="12" fillId="6" borderId="25" xfId="9" applyNumberFormat="1" applyFont="1" applyFill="1" applyBorder="1" applyAlignment="1">
      <alignment horizontal="center"/>
    </xf>
    <xf numFmtId="0" fontId="33" fillId="0" borderId="0" xfId="0" applyFont="1"/>
    <xf numFmtId="0" fontId="10" fillId="8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9" fillId="9" borderId="29" xfId="0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 horizontal="right"/>
    </xf>
    <xf numFmtId="0" fontId="9" fillId="9" borderId="29" xfId="0" applyFont="1" applyFill="1" applyBorder="1" applyAlignment="1">
      <alignment horizontal="right"/>
    </xf>
    <xf numFmtId="0" fontId="9" fillId="9" borderId="29" xfId="0" applyFont="1" applyFill="1" applyBorder="1" applyAlignment="1">
      <alignment horizontal="left" wrapText="1"/>
    </xf>
    <xf numFmtId="0" fontId="9" fillId="9" borderId="29" xfId="0" applyFont="1" applyFill="1" applyBorder="1" applyAlignment="1">
      <alignment horizontal="right" wrapText="1"/>
    </xf>
    <xf numFmtId="0" fontId="29" fillId="0" borderId="32" xfId="0" applyFont="1" applyFill="1" applyBorder="1" applyAlignment="1">
      <alignment horizontal="right"/>
    </xf>
    <xf numFmtId="3" fontId="29" fillId="0" borderId="33" xfId="0" applyNumberFormat="1" applyFont="1" applyFill="1" applyBorder="1" applyAlignment="1">
      <alignment horizontal="right"/>
    </xf>
    <xf numFmtId="3" fontId="29" fillId="0" borderId="34" xfId="0" applyNumberFormat="1" applyFont="1" applyFill="1" applyBorder="1" applyAlignment="1">
      <alignment horizontal="right"/>
    </xf>
    <xf numFmtId="0" fontId="10" fillId="8" borderId="29" xfId="8" applyNumberFormat="1" applyFont="1" applyFill="1" applyBorder="1" applyAlignment="1" applyProtection="1">
      <alignment horizontal="center" vertical="center" wrapText="1"/>
    </xf>
    <xf numFmtId="3" fontId="9" fillId="9" borderId="30" xfId="0" applyNumberFormat="1" applyFont="1" applyFill="1" applyBorder="1" applyAlignment="1">
      <alignment horizontal="right"/>
    </xf>
    <xf numFmtId="3" fontId="9" fillId="9" borderId="31" xfId="0" applyNumberFormat="1" applyFont="1" applyFill="1" applyBorder="1" applyAlignment="1">
      <alignment horizontal="right"/>
    </xf>
    <xf numFmtId="0" fontId="33" fillId="0" borderId="3" xfId="0" applyFont="1" applyFill="1" applyBorder="1"/>
    <xf numFmtId="165" fontId="9" fillId="0" borderId="3" xfId="0" applyNumberFormat="1" applyFont="1" applyBorder="1"/>
    <xf numFmtId="165" fontId="9" fillId="0" borderId="0" xfId="0" applyNumberFormat="1" applyFont="1" applyBorder="1"/>
    <xf numFmtId="166" fontId="33" fillId="0" borderId="3" xfId="1" applyNumberFormat="1" applyFont="1" applyFill="1" applyBorder="1"/>
    <xf numFmtId="166" fontId="32" fillId="0" borderId="3" xfId="0" applyNumberFormat="1" applyFont="1" applyBorder="1"/>
    <xf numFmtId="0" fontId="32" fillId="0" borderId="3" xfId="0" applyFont="1" applyBorder="1"/>
    <xf numFmtId="0" fontId="32" fillId="0" borderId="2" xfId="0" applyFont="1" applyBorder="1"/>
    <xf numFmtId="166" fontId="32" fillId="0" borderId="3" xfId="0" applyNumberFormat="1" applyFont="1" applyFill="1" applyBorder="1"/>
    <xf numFmtId="0" fontId="10" fillId="8" borderId="17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9" fillId="0" borderId="41" xfId="0" applyFont="1" applyBorder="1"/>
    <xf numFmtId="10" fontId="0" fillId="0" borderId="3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9" fillId="0" borderId="43" xfId="0" applyFont="1" applyBorder="1"/>
    <xf numFmtId="2" fontId="0" fillId="0" borderId="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13" fillId="0" borderId="14" xfId="0" applyFont="1" applyBorder="1" applyAlignment="1">
      <alignment horizontal="right"/>
    </xf>
    <xf numFmtId="10" fontId="34" fillId="0" borderId="3" xfId="0" applyNumberFormat="1" applyFont="1" applyBorder="1" applyAlignment="1">
      <alignment horizontal="center"/>
    </xf>
    <xf numFmtId="10" fontId="34" fillId="0" borderId="42" xfId="0" applyNumberFormat="1" applyFont="1" applyBorder="1" applyAlignment="1">
      <alignment horizontal="center"/>
    </xf>
    <xf numFmtId="0" fontId="13" fillId="0" borderId="43" xfId="0" applyFont="1" applyBorder="1"/>
    <xf numFmtId="9" fontId="0" fillId="0" borderId="3" xfId="0" applyNumberForma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0" fontId="13" fillId="0" borderId="43" xfId="0" applyFont="1" applyFill="1" applyBorder="1" applyAlignment="1">
      <alignment horizontal="right"/>
    </xf>
    <xf numFmtId="10" fontId="34" fillId="0" borderId="44" xfId="0" applyNumberFormat="1" applyFont="1" applyFill="1" applyBorder="1" applyAlignment="1">
      <alignment horizontal="center"/>
    </xf>
    <xf numFmtId="10" fontId="34" fillId="0" borderId="45" xfId="0" applyNumberFormat="1" applyFont="1" applyFill="1" applyBorder="1" applyAlignment="1">
      <alignment horizontal="center"/>
    </xf>
    <xf numFmtId="0" fontId="10" fillId="8" borderId="46" xfId="0" applyFont="1" applyFill="1" applyBorder="1" applyAlignment="1">
      <alignment vertical="center"/>
    </xf>
    <xf numFmtId="0" fontId="10" fillId="8" borderId="47" xfId="0" applyFont="1" applyFill="1" applyBorder="1" applyAlignment="1">
      <alignment vertical="center"/>
    </xf>
    <xf numFmtId="3" fontId="11" fillId="6" borderId="24" xfId="10" applyNumberFormat="1" applyFont="1" applyFill="1" applyBorder="1" applyAlignment="1" applyProtection="1">
      <alignment horizontal="center" vertical="center"/>
    </xf>
    <xf numFmtId="0" fontId="11" fillId="6" borderId="23" xfId="8" applyNumberFormat="1" applyFont="1" applyFill="1" applyBorder="1" applyAlignment="1" applyProtection="1">
      <alignment vertical="center" wrapText="1"/>
    </xf>
    <xf numFmtId="0" fontId="9" fillId="9" borderId="29" xfId="0" applyFont="1" applyFill="1" applyBorder="1" applyAlignment="1">
      <alignment horizontal="left" vertical="center" wrapText="1"/>
    </xf>
    <xf numFmtId="3" fontId="15" fillId="3" borderId="8" xfId="0" applyNumberFormat="1" applyFont="1" applyFill="1" applyBorder="1"/>
    <xf numFmtId="175" fontId="15" fillId="3" borderId="8" xfId="0" applyNumberFormat="1" applyFont="1" applyFill="1" applyBorder="1"/>
    <xf numFmtId="3" fontId="15" fillId="3" borderId="10" xfId="0" applyNumberFormat="1" applyFont="1" applyFill="1" applyBorder="1"/>
    <xf numFmtId="175" fontId="15" fillId="3" borderId="5" xfId="0" applyNumberFormat="1" applyFont="1" applyFill="1" applyBorder="1"/>
    <xf numFmtId="3" fontId="15" fillId="3" borderId="5" xfId="0" applyNumberFormat="1" applyFont="1" applyFill="1" applyBorder="1"/>
    <xf numFmtId="0" fontId="10" fillId="8" borderId="46" xfId="0" applyFont="1" applyFill="1" applyBorder="1" applyAlignment="1">
      <alignment horizontal="center" vertical="center"/>
    </xf>
    <xf numFmtId="0" fontId="15" fillId="0" borderId="23" xfId="0" applyFont="1" applyFill="1" applyBorder="1"/>
    <xf numFmtId="4" fontId="15" fillId="0" borderId="24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10" fontId="9" fillId="0" borderId="0" xfId="3" applyNumberFormat="1" applyFont="1" applyBorder="1"/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3" fontId="9" fillId="0" borderId="3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0" fontId="15" fillId="0" borderId="3" xfId="3" applyNumberFormat="1" applyFont="1" applyBorder="1"/>
    <xf numFmtId="0" fontId="20" fillId="10" borderId="3" xfId="0" applyFont="1" applyFill="1" applyBorder="1" applyAlignment="1">
      <alignment horizontal="left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179" fontId="14" fillId="0" borderId="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10" fontId="9" fillId="0" borderId="0" xfId="3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 horizontal="center"/>
    </xf>
    <xf numFmtId="3" fontId="12" fillId="6" borderId="20" xfId="9" applyNumberFormat="1" applyFont="1" applyFill="1" applyBorder="1" applyAlignment="1">
      <alignment horizontal="left" vertical="top" wrapText="1"/>
    </xf>
    <xf numFmtId="165" fontId="9" fillId="0" borderId="3" xfId="1" applyNumberFormat="1" applyFont="1" applyFill="1" applyBorder="1"/>
    <xf numFmtId="165" fontId="9" fillId="0" borderId="3" xfId="0" applyNumberFormat="1" applyFont="1" applyFill="1" applyBorder="1"/>
    <xf numFmtId="4" fontId="11" fillId="6" borderId="21" xfId="10" applyNumberFormat="1" applyFont="1" applyFill="1" applyBorder="1" applyAlignment="1">
      <alignment horizontal="center" vertical="center"/>
    </xf>
    <xf numFmtId="4" fontId="12" fillId="6" borderId="21" xfId="10" applyNumberFormat="1" applyFont="1" applyFill="1" applyBorder="1" applyAlignment="1">
      <alignment horizontal="center" vertical="center"/>
    </xf>
    <xf numFmtId="4" fontId="12" fillId="6" borderId="21" xfId="9" applyNumberFormat="1" applyFont="1" applyFill="1" applyBorder="1" applyAlignment="1">
      <alignment horizontal="center" vertical="center"/>
    </xf>
    <xf numFmtId="4" fontId="12" fillId="6" borderId="22" xfId="10" applyNumberFormat="1" applyFont="1" applyFill="1" applyBorder="1" applyAlignment="1">
      <alignment horizontal="center" vertical="center"/>
    </xf>
    <xf numFmtId="4" fontId="11" fillId="6" borderId="25" xfId="10" applyNumberFormat="1" applyFont="1" applyFill="1" applyBorder="1" applyAlignment="1">
      <alignment horizontal="center" vertical="center"/>
    </xf>
    <xf numFmtId="165" fontId="9" fillId="0" borderId="0" xfId="1" applyFont="1" applyFill="1" applyBorder="1"/>
    <xf numFmtId="165" fontId="9" fillId="0" borderId="0" xfId="1" applyFont="1"/>
    <xf numFmtId="165" fontId="9" fillId="0" borderId="0" xfId="1" applyFont="1" applyFill="1" applyBorder="1" applyAlignment="1"/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35" fillId="7" borderId="22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20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2" fontId="10" fillId="8" borderId="38" xfId="8" applyNumberFormat="1" applyFont="1" applyFill="1" applyBorder="1" applyAlignment="1" applyProtection="1">
      <alignment horizontal="center" vertical="center" wrapText="1"/>
    </xf>
    <xf numFmtId="2" fontId="10" fillId="8" borderId="39" xfId="8" applyNumberFormat="1" applyFont="1" applyFill="1" applyBorder="1" applyAlignment="1" applyProtection="1">
      <alignment horizontal="center" vertical="center" wrapText="1"/>
    </xf>
    <xf numFmtId="0" fontId="10" fillId="8" borderId="35" xfId="8" applyNumberFormat="1" applyFont="1" applyFill="1" applyBorder="1" applyAlignment="1" applyProtection="1">
      <alignment horizontal="center" vertical="center" wrapText="1"/>
    </xf>
    <xf numFmtId="0" fontId="10" fillId="8" borderId="36" xfId="8" applyNumberFormat="1" applyFont="1" applyFill="1" applyBorder="1" applyAlignment="1" applyProtection="1">
      <alignment horizontal="center" vertical="center" wrapText="1"/>
    </xf>
    <xf numFmtId="0" fontId="10" fillId="8" borderId="37" xfId="8" applyNumberFormat="1" applyFont="1" applyFill="1" applyBorder="1" applyAlignment="1" applyProtection="1">
      <alignment horizontal="center" vertical="center" wrapText="1"/>
    </xf>
    <xf numFmtId="0" fontId="10" fillId="8" borderId="4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49" fontId="10" fillId="8" borderId="49" xfId="8" applyNumberFormat="1" applyFont="1" applyFill="1" applyBorder="1" applyAlignment="1" applyProtection="1">
      <alignment horizontal="center" vertical="center" wrapText="1"/>
    </xf>
    <xf numFmtId="49" fontId="10" fillId="8" borderId="48" xfId="8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</cellXfs>
  <cellStyles count="20">
    <cellStyle name="Millares" xfId="1" builtinId="3"/>
    <cellStyle name="Millares 2" xfId="5"/>
    <cellStyle name="Millares 2 2" xfId="7"/>
    <cellStyle name="Millares 2 2 2" xfId="16"/>
    <cellStyle name="Millares 2 3" xfId="12"/>
    <cellStyle name="Millares 3" xfId="10"/>
    <cellStyle name="Millares 4" xfId="19"/>
    <cellStyle name="Normal" xfId="0" builtinId="0"/>
    <cellStyle name="Normal 2" xfId="4"/>
    <cellStyle name="Normal 2 2" xfId="14"/>
    <cellStyle name="Normal 2 3" xfId="13"/>
    <cellStyle name="Normal 3" xfId="9"/>
    <cellStyle name="Normal 4" xfId="8"/>
    <cellStyle name="Normal 5" xfId="17"/>
    <cellStyle name="Normal_COyM_DDE_DOLAR_97-04_SANJUAN" xfId="2"/>
    <cellStyle name="Porcentaje" xfId="3" builtinId="5"/>
    <cellStyle name="Porcentaje 2" xfId="11"/>
    <cellStyle name="Porcentaje 3" xfId="18"/>
    <cellStyle name="Porcentual 2" xfId="6"/>
    <cellStyle name="Porcentual 2 2" xfId="15"/>
  </cellStyles>
  <dxfs count="30"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  <dxf>
      <fill>
        <patternFill>
          <bgColor indexed="3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173182</xdr:colOff>
      <xdr:row>66</xdr:row>
      <xdr:rowOff>86591</xdr:rowOff>
    </xdr:from>
    <xdr:to>
      <xdr:col>15</xdr:col>
      <xdr:colOff>331643</xdr:colOff>
      <xdr:row>90</xdr:row>
      <xdr:rowOff>42428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9182" y="17543318"/>
          <a:ext cx="7458075" cy="51339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03-Revisiones%20Tarifarias\Revisi&#243;n%20Tarifario%202018-22\NOTA%20DSAN-3503-17%20(PLAN%20DE%20INVERSIONES%202018-2022)%20(RELACION%20DSAN-2148-17)\PROYECCION-Inversiones%202018-2022_a%2021%20diciembre%2017_ENVIAR%20A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arga CAPEX"/>
      <sheetName val="Carga CAPEX (JUNTAD+TORIZ)"/>
      <sheetName val="ASEP (JUNTAD+TORIZ) (2)"/>
      <sheetName val="ASEP (JUNTAD+TORIZ) (3)"/>
      <sheetName val="ASEP (FINAL ENVIADO 21 DIC 17)"/>
    </sheetNames>
    <sheetDataSet>
      <sheetData sheetId="0">
        <row r="2">
          <cell r="A2" t="str">
            <v>Fecha (mmm-aaaa)</v>
          </cell>
          <cell r="B2" t="str">
            <v>General</v>
          </cell>
        </row>
        <row r="3">
          <cell r="B3" t="str">
            <v>SubE. y AT</v>
          </cell>
        </row>
        <row r="4">
          <cell r="B4" t="str">
            <v>Alum. Pub.</v>
          </cell>
        </row>
        <row r="5">
          <cell r="B5" t="str">
            <v>Elec. Rural</v>
          </cell>
        </row>
        <row r="6">
          <cell r="B6" t="str">
            <v>Especiales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48"/>
  <sheetViews>
    <sheetView tabSelected="1" zoomScale="90" zoomScaleNormal="90" workbookViewId="0"/>
  </sheetViews>
  <sheetFormatPr baseColWidth="10" defaultColWidth="11.42578125" defaultRowHeight="15" x14ac:dyDescent="0.25"/>
  <cols>
    <col min="1" max="1" width="4.5703125" style="20" customWidth="1"/>
    <col min="2" max="2" width="48.5703125" style="20" customWidth="1"/>
    <col min="3" max="6" width="22.7109375" style="20" customWidth="1"/>
    <col min="7" max="7" width="20.42578125" style="20" customWidth="1"/>
    <col min="8" max="8" width="20.5703125" style="20" customWidth="1"/>
    <col min="9" max="9" width="17.140625" style="20" bestFit="1" customWidth="1"/>
    <col min="10" max="10" width="15.28515625" style="20" hidden="1" customWidth="1"/>
    <col min="11" max="11" width="22.42578125" style="20" customWidth="1"/>
    <col min="12" max="13" width="17.140625" style="20" bestFit="1" customWidth="1"/>
    <col min="14" max="14" width="16.7109375" style="20" customWidth="1"/>
    <col min="15" max="16" width="17.140625" style="20" bestFit="1" customWidth="1"/>
    <col min="17" max="16384" width="11.42578125" style="20"/>
  </cols>
  <sheetData>
    <row r="1" spans="2:7" x14ac:dyDescent="0.25">
      <c r="B1" s="32" t="s">
        <v>105</v>
      </c>
      <c r="C1" s="33"/>
    </row>
    <row r="3" spans="2:7" x14ac:dyDescent="0.25">
      <c r="B3" s="32" t="s">
        <v>96</v>
      </c>
    </row>
    <row r="5" spans="2:7" x14ac:dyDescent="0.25">
      <c r="B5" s="20" t="s">
        <v>72</v>
      </c>
    </row>
    <row r="6" spans="2:7" ht="15.75" thickBot="1" x14ac:dyDescent="0.3"/>
    <row r="7" spans="2:7" ht="22.5" customHeight="1" x14ac:dyDescent="0.25">
      <c r="B7" s="234" t="s">
        <v>218</v>
      </c>
      <c r="C7" s="272" t="s">
        <v>164</v>
      </c>
      <c r="D7" s="272" t="s">
        <v>165</v>
      </c>
      <c r="E7" s="272" t="s">
        <v>166</v>
      </c>
      <c r="F7" s="273" t="s">
        <v>167</v>
      </c>
    </row>
    <row r="8" spans="2:7" ht="28.5" x14ac:dyDescent="0.25">
      <c r="B8" s="34" t="s">
        <v>256</v>
      </c>
      <c r="C8" s="13">
        <f>+IMPD!D14</f>
        <v>103482.54522871762</v>
      </c>
      <c r="D8" s="13">
        <f>+IMPD!E14</f>
        <v>109032.10223269301</v>
      </c>
      <c r="E8" s="13">
        <f>+IMPD!F14</f>
        <v>113163.13482298554</v>
      </c>
      <c r="F8" s="14">
        <f>+IMPD!G14</f>
        <v>116587.49171220267</v>
      </c>
    </row>
    <row r="9" spans="2:7" ht="28.5" x14ac:dyDescent="0.25">
      <c r="B9" s="34" t="s">
        <v>219</v>
      </c>
      <c r="C9" s="13">
        <f>+IMPCO!D13</f>
        <v>43338.305000040717</v>
      </c>
      <c r="D9" s="13">
        <f>+IMPCO!E13</f>
        <v>44525.168069389903</v>
      </c>
      <c r="E9" s="13">
        <f>+IMPCO!F13</f>
        <v>45691.559201166921</v>
      </c>
      <c r="F9" s="14">
        <f>+IMPCO!G13</f>
        <v>46894.394062036226</v>
      </c>
    </row>
    <row r="10" spans="2:7" ht="28.5" x14ac:dyDescent="0.25">
      <c r="B10" s="34" t="s">
        <v>257</v>
      </c>
      <c r="C10" s="13">
        <f>+ALUMPU!D13</f>
        <v>3573.9199738737243</v>
      </c>
      <c r="D10" s="13">
        <f>+ALUMPU!E13</f>
        <v>3967.9048327610431</v>
      </c>
      <c r="E10" s="13">
        <f>+ALUMPU!F13</f>
        <v>4298.6787621522144</v>
      </c>
      <c r="F10" s="14">
        <f>+ALUMPU!G13</f>
        <v>4700.7812617814143</v>
      </c>
    </row>
    <row r="11" spans="2:7" ht="28.5" x14ac:dyDescent="0.25">
      <c r="B11" s="34" t="s">
        <v>258</v>
      </c>
      <c r="C11" s="13">
        <f>+IMPD!D19</f>
        <v>50407.816909538727</v>
      </c>
      <c r="D11" s="13">
        <f>+IMPD!E19</f>
        <v>52024.71610611608</v>
      </c>
      <c r="E11" s="13">
        <f>+IMPD!F19</f>
        <v>47256.662985379357</v>
      </c>
      <c r="F11" s="14">
        <f>+IMPD!G19</f>
        <v>47187.152253809778</v>
      </c>
    </row>
    <row r="12" spans="2:7" ht="28.5" x14ac:dyDescent="0.25">
      <c r="B12" s="34" t="s">
        <v>220</v>
      </c>
      <c r="C12" s="13">
        <v>5394.6730350781154</v>
      </c>
      <c r="D12" s="13"/>
      <c r="E12" s="13"/>
      <c r="F12" s="14"/>
    </row>
    <row r="13" spans="2:7" ht="2.25" customHeight="1" x14ac:dyDescent="0.25">
      <c r="B13" s="35"/>
      <c r="C13" s="36"/>
      <c r="D13" s="36"/>
      <c r="E13" s="36"/>
      <c r="F13" s="37"/>
    </row>
    <row r="14" spans="2:7" ht="15.75" thickBot="1" x14ac:dyDescent="0.3">
      <c r="B14" s="262" t="s">
        <v>259</v>
      </c>
      <c r="C14" s="263">
        <f>+C8+C11+C9+C10+C12</f>
        <v>206197.26014724892</v>
      </c>
      <c r="D14" s="263">
        <f>+D8+D11+D9+D10+D13</f>
        <v>209549.89124096005</v>
      </c>
      <c r="E14" s="263">
        <f>+E8+E11+E9+E10+E13</f>
        <v>210410.03577168402</v>
      </c>
      <c r="F14" s="264">
        <f>+F8+F11+F9+F10+F13</f>
        <v>215369.81928983011</v>
      </c>
    </row>
    <row r="15" spans="2:7" x14ac:dyDescent="0.25">
      <c r="B15" s="38"/>
      <c r="C15" s="39"/>
      <c r="D15" s="39"/>
      <c r="E15" s="39"/>
      <c r="F15" s="39"/>
    </row>
    <row r="16" spans="2:7" x14ac:dyDescent="0.25">
      <c r="B16" s="15" t="s">
        <v>69</v>
      </c>
      <c r="C16" s="16">
        <f>1/(1+RETORNO!G9)</f>
        <v>0.91793647879566742</v>
      </c>
      <c r="D16" s="17">
        <f>1/(1+RETORNO!G9)*1/(1+RETORNO!G9)</f>
        <v>0.8426073791037888</v>
      </c>
      <c r="E16" s="17">
        <f>1/(1+RETORNO!G9)*1/(1+RETORNO!G9)*1/(1+RETORNO!G9)</f>
        <v>0.77346005058177791</v>
      </c>
      <c r="F16" s="17">
        <f>1/(1+RETORNO!G9)*1/(1+RETORNO!G9)*1/(1+RETORNO!G9)*1/(1+RETORNO!G9)</f>
        <v>0.70998719532015597</v>
      </c>
      <c r="G16" s="40"/>
    </row>
    <row r="17" spans="1:7" x14ac:dyDescent="0.25">
      <c r="B17" s="18" t="s">
        <v>70</v>
      </c>
      <c r="C17" s="19">
        <f>+(1+C16)/2</f>
        <v>0.95896823939783371</v>
      </c>
      <c r="D17" s="19">
        <f>+(C16+D16)/2</f>
        <v>0.88027192894972806</v>
      </c>
      <c r="E17" s="19">
        <f>+(D16+E16)/2</f>
        <v>0.80803371484278341</v>
      </c>
      <c r="F17" s="19">
        <f>+(E16+F16)/2</f>
        <v>0.74172362295096694</v>
      </c>
      <c r="G17" s="40"/>
    </row>
    <row r="18" spans="1:7" ht="15.75" thickBot="1" x14ac:dyDescent="0.3">
      <c r="D18" s="21"/>
      <c r="E18" s="21"/>
      <c r="F18" s="296"/>
      <c r="G18" s="40"/>
    </row>
    <row r="19" spans="1:7" x14ac:dyDescent="0.25">
      <c r="B19" s="234" t="s">
        <v>67</v>
      </c>
      <c r="C19" s="272" t="s">
        <v>164</v>
      </c>
      <c r="D19" s="272" t="s">
        <v>165</v>
      </c>
      <c r="E19" s="272" t="s">
        <v>166</v>
      </c>
      <c r="F19" s="273" t="s">
        <v>167</v>
      </c>
      <c r="G19" s="40"/>
    </row>
    <row r="20" spans="1:7" x14ac:dyDescent="0.25">
      <c r="B20" s="23"/>
      <c r="C20" s="24"/>
      <c r="D20" s="25"/>
      <c r="E20" s="25"/>
      <c r="F20" s="26"/>
      <c r="G20" s="40"/>
    </row>
    <row r="21" spans="1:7" x14ac:dyDescent="0.25">
      <c r="A21" s="20" t="s">
        <v>68</v>
      </c>
      <c r="B21" s="27" t="s">
        <v>31</v>
      </c>
      <c r="C21" s="28">
        <f>+(C8+$C$12/SUM($C$8:$C$11)*C8)*C$17</f>
        <v>101902.51720512084</v>
      </c>
      <c r="D21" s="28">
        <f t="shared" ref="D21:F24" si="0">+D8*D$17</f>
        <v>95977.898949816634</v>
      </c>
      <c r="E21" s="28">
        <f t="shared" si="0"/>
        <v>91439.628214271754</v>
      </c>
      <c r="F21" s="28">
        <f t="shared" si="0"/>
        <v>86475.696743540801</v>
      </c>
      <c r="G21" s="21"/>
    </row>
    <row r="22" spans="1:7" x14ac:dyDescent="0.25">
      <c r="B22" s="27" t="s">
        <v>15</v>
      </c>
      <c r="C22" s="28">
        <f>+(C9+$C$12/SUM($C$8:$C$11)*C9)*C$17</f>
        <v>42676.592087549987</v>
      </c>
      <c r="D22" s="28">
        <f t="shared" si="0"/>
        <v>39194.255583252692</v>
      </c>
      <c r="E22" s="28">
        <f t="shared" si="0"/>
        <v>36920.320318277867</v>
      </c>
      <c r="F22" s="28">
        <f t="shared" si="0"/>
        <v>34782.679859783821</v>
      </c>
      <c r="G22" s="40"/>
    </row>
    <row r="23" spans="1:7" x14ac:dyDescent="0.25">
      <c r="B23" s="27" t="s">
        <v>13</v>
      </c>
      <c r="C23" s="28">
        <f>+(C10+$C$12/SUM($C$8:$C$11)*C10)*C$17</f>
        <v>3519.3514116071901</v>
      </c>
      <c r="D23" s="28">
        <f t="shared" si="0"/>
        <v>3492.8352410235116</v>
      </c>
      <c r="E23" s="28">
        <f t="shared" si="0"/>
        <v>3473.4773690976317</v>
      </c>
      <c r="F23" s="28">
        <f t="shared" si="0"/>
        <v>3486.6805081885282</v>
      </c>
      <c r="G23" s="40"/>
    </row>
    <row r="24" spans="1:7" x14ac:dyDescent="0.25">
      <c r="B24" s="27" t="s">
        <v>11</v>
      </c>
      <c r="C24" s="28">
        <f>+(C11+$C$12/SUM($C$8:$C$11)*C11)*C$17</f>
        <v>49638.162827786364</v>
      </c>
      <c r="D24" s="28">
        <f t="shared" si="0"/>
        <v>45795.897199792787</v>
      </c>
      <c r="E24" s="28">
        <f t="shared" si="0"/>
        <v>38184.976943149544</v>
      </c>
      <c r="F24" s="28">
        <f t="shared" si="0"/>
        <v>34999.825526434674</v>
      </c>
      <c r="G24" s="40"/>
    </row>
    <row r="25" spans="1:7" x14ac:dyDescent="0.25">
      <c r="B25" s="41"/>
      <c r="C25" s="42"/>
      <c r="D25" s="42"/>
      <c r="E25" s="42"/>
      <c r="F25" s="42"/>
      <c r="G25" s="40"/>
    </row>
    <row r="26" spans="1:7" x14ac:dyDescent="0.25">
      <c r="B26" s="43" t="s">
        <v>16</v>
      </c>
      <c r="C26" s="44">
        <f>SUM(C21:C25)</f>
        <v>197736.62353206438</v>
      </c>
      <c r="D26" s="44">
        <f>SUM(D21:D25)</f>
        <v>184460.88697388562</v>
      </c>
      <c r="E26" s="44">
        <f>SUM(E21:E25)</f>
        <v>170018.4028447968</v>
      </c>
      <c r="F26" s="44">
        <f>SUM(F21:F25)</f>
        <v>159744.88263794783</v>
      </c>
      <c r="G26" s="40"/>
    </row>
    <row r="27" spans="1:7" x14ac:dyDescent="0.25">
      <c r="D27" s="21"/>
      <c r="E27" s="21"/>
      <c r="F27" s="21"/>
      <c r="G27" s="40"/>
    </row>
    <row r="28" spans="1:7" x14ac:dyDescent="0.25">
      <c r="B28" s="29" t="s">
        <v>93</v>
      </c>
      <c r="C28" s="30">
        <f>C17*DEMANDA!E12</f>
        <v>3509098.9066267665</v>
      </c>
      <c r="D28" s="30">
        <f>D17*DEMANDA!F12</f>
        <v>3321629.1467904551</v>
      </c>
      <c r="E28" s="30">
        <f>E17*DEMANDA!G12</f>
        <v>3144174.7532314281</v>
      </c>
      <c r="F28" s="30">
        <f>F17*DEMANDA!H12</f>
        <v>2976200.665992517</v>
      </c>
      <c r="G28" s="40"/>
    </row>
    <row r="29" spans="1:7" x14ac:dyDescent="0.25">
      <c r="G29" s="40"/>
    </row>
    <row r="30" spans="1:7" ht="15.75" thickBot="1" x14ac:dyDescent="0.3">
      <c r="G30" s="40"/>
    </row>
    <row r="31" spans="1:7" x14ac:dyDescent="0.25">
      <c r="B31" s="299" t="s">
        <v>97</v>
      </c>
      <c r="C31" s="300"/>
      <c r="D31" s="301"/>
    </row>
    <row r="32" spans="1:7" ht="20.25" customHeight="1" x14ac:dyDescent="0.25">
      <c r="B32" s="304" t="s">
        <v>92</v>
      </c>
      <c r="C32" s="303" t="s">
        <v>57</v>
      </c>
      <c r="D32" s="302" t="s">
        <v>180</v>
      </c>
    </row>
    <row r="33" spans="2:10" x14ac:dyDescent="0.25">
      <c r="B33" s="304"/>
      <c r="C33" s="303"/>
      <c r="D33" s="302"/>
      <c r="F33" s="45"/>
      <c r="G33" s="45"/>
    </row>
    <row r="34" spans="2:10" x14ac:dyDescent="0.25">
      <c r="B34" s="46" t="s">
        <v>260</v>
      </c>
      <c r="C34" s="47" t="s">
        <v>99</v>
      </c>
      <c r="D34" s="48">
        <f>+C21+D21+E21+F21</f>
        <v>375795.74111275002</v>
      </c>
      <c r="F34" s="45"/>
      <c r="G34" s="45"/>
    </row>
    <row r="35" spans="2:10" x14ac:dyDescent="0.25">
      <c r="B35" s="46" t="s">
        <v>232</v>
      </c>
      <c r="C35" s="47" t="s">
        <v>99</v>
      </c>
      <c r="D35" s="48">
        <f>+C22+D22+E22+F22</f>
        <v>153573.84784886436</v>
      </c>
      <c r="F35" s="45"/>
      <c r="G35" s="45"/>
    </row>
    <row r="36" spans="2:10" x14ac:dyDescent="0.25">
      <c r="B36" s="46" t="s">
        <v>261</v>
      </c>
      <c r="C36" s="47" t="s">
        <v>99</v>
      </c>
      <c r="D36" s="48">
        <f>+C23+D23+E23+F23</f>
        <v>13972.344529916863</v>
      </c>
      <c r="F36" s="45"/>
      <c r="G36" s="45"/>
    </row>
    <row r="37" spans="2:10" x14ac:dyDescent="0.25">
      <c r="B37" s="46" t="s">
        <v>98</v>
      </c>
      <c r="C37" s="47" t="s">
        <v>99</v>
      </c>
      <c r="D37" s="48">
        <f>SUM(D34:D36)</f>
        <v>543341.93349153129</v>
      </c>
      <c r="F37" s="45"/>
      <c r="G37" s="45"/>
    </row>
    <row r="38" spans="2:10" x14ac:dyDescent="0.25">
      <c r="B38" s="46" t="s">
        <v>262</v>
      </c>
      <c r="C38" s="47" t="s">
        <v>99</v>
      </c>
      <c r="D38" s="48">
        <f>+C24+D24+E24+F24</f>
        <v>168618.86249716335</v>
      </c>
      <c r="F38" s="45"/>
      <c r="G38" s="45"/>
    </row>
    <row r="39" spans="2:10" x14ac:dyDescent="0.25">
      <c r="B39" s="46" t="s">
        <v>223</v>
      </c>
      <c r="C39" s="47" t="s">
        <v>99</v>
      </c>
      <c r="D39" s="48">
        <f>SUM(D34:D36)+D38</f>
        <v>711960.79598869465</v>
      </c>
      <c r="E39" s="297"/>
      <c r="F39" s="45"/>
      <c r="G39" s="45"/>
    </row>
    <row r="40" spans="2:10" x14ac:dyDescent="0.25">
      <c r="B40" s="46" t="s">
        <v>233</v>
      </c>
      <c r="C40" s="47" t="s">
        <v>10</v>
      </c>
      <c r="D40" s="48">
        <f>+C28+D28+E28+F28</f>
        <v>12951103.472641166</v>
      </c>
      <c r="F40" s="45"/>
      <c r="G40" s="45"/>
    </row>
    <row r="41" spans="2:10" x14ac:dyDescent="0.25">
      <c r="B41" s="265" t="s">
        <v>221</v>
      </c>
      <c r="C41" s="266" t="s">
        <v>154</v>
      </c>
      <c r="D41" s="267">
        <f>D39/D40*1000</f>
        <v>54.9729833826663</v>
      </c>
      <c r="F41" s="271"/>
      <c r="G41" s="271"/>
    </row>
    <row r="42" spans="2:10" ht="15.75" thickBot="1" x14ac:dyDescent="0.3">
      <c r="B42" s="268" t="s">
        <v>222</v>
      </c>
      <c r="C42" s="269" t="s">
        <v>154</v>
      </c>
      <c r="D42" s="270">
        <f>(D39-D38)/D40*1000</f>
        <v>41.953331207593664</v>
      </c>
      <c r="F42" s="271"/>
      <c r="G42" s="271"/>
    </row>
    <row r="43" spans="2:10" x14ac:dyDescent="0.25">
      <c r="D43" s="49"/>
      <c r="I43" s="45"/>
      <c r="J43" s="45"/>
    </row>
    <row r="44" spans="2:10" x14ac:dyDescent="0.25">
      <c r="B44" s="20" t="s">
        <v>263</v>
      </c>
    </row>
    <row r="45" spans="2:10" hidden="1" x14ac:dyDescent="0.25">
      <c r="B45" s="20" t="s">
        <v>264</v>
      </c>
    </row>
    <row r="46" spans="2:10" hidden="1" x14ac:dyDescent="0.25">
      <c r="B46" s="50"/>
    </row>
    <row r="47" spans="2:10" ht="42.75" hidden="1" x14ac:dyDescent="0.25">
      <c r="C47" s="31" t="s">
        <v>94</v>
      </c>
    </row>
    <row r="48" spans="2:10" hidden="1" x14ac:dyDescent="0.25">
      <c r="C48" s="51" t="s">
        <v>95</v>
      </c>
    </row>
  </sheetData>
  <sheetProtection algorithmName="SHA-512" hashValue="Yo/+AV4aHT2786vHazQyaJVhEJu1giKPyoS+L1hJ4MGukElqJKoskO04r5yOLiAWL69hgDjMIBvEg2udIhczrQ==" saltValue="Qmxl0pzMKMNZjSn9ZQiauQ==" spinCount="100000" sheet="1" objects="1" scenarios="1"/>
  <mergeCells count="4">
    <mergeCell ref="B31:D31"/>
    <mergeCell ref="D32:D33"/>
    <mergeCell ref="C32:C33"/>
    <mergeCell ref="B32:B33"/>
  </mergeCells>
  <phoneticPr fontId="0" type="noConversion"/>
  <dataValidations disablePrompts="1" count="1">
    <dataValidation type="list" allowBlank="1" showInputMessage="1" showErrorMessage="1" sqref="C48">
      <formula1>#REF!</formula1>
    </dataValidation>
  </dataValidations>
  <pageMargins left="0.74803149606299213" right="0.74803149606299213" top="0.51181102362204722" bottom="0.51181102362204722" header="0.39370078740157483" footer="0"/>
  <pageSetup scale="74" orientation="landscape" verticalDpi="597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G43"/>
  <sheetViews>
    <sheetView zoomScale="90" zoomScaleNormal="90" workbookViewId="0">
      <selection activeCell="E39" sqref="E39"/>
    </sheetView>
  </sheetViews>
  <sheetFormatPr baseColWidth="10" defaultColWidth="11.42578125" defaultRowHeight="15" x14ac:dyDescent="0.25"/>
  <cols>
    <col min="1" max="1" width="11.42578125" style="20"/>
    <col min="2" max="2" width="52.85546875" style="20" customWidth="1"/>
    <col min="3" max="5" width="11.42578125" style="20"/>
    <col min="6" max="6" width="36.140625" style="20" customWidth="1"/>
    <col min="7" max="16384" width="11.42578125" style="20"/>
  </cols>
  <sheetData>
    <row r="2" spans="2:7" x14ac:dyDescent="0.25">
      <c r="B2" s="32"/>
    </row>
    <row r="3" spans="2:7" x14ac:dyDescent="0.25">
      <c r="B3" s="53" t="s">
        <v>105</v>
      </c>
    </row>
    <row r="4" spans="2:7" x14ac:dyDescent="0.25">
      <c r="B4" s="53" t="s">
        <v>44</v>
      </c>
    </row>
    <row r="5" spans="2:7" x14ac:dyDescent="0.25">
      <c r="C5" s="93"/>
      <c r="F5" s="32" t="s">
        <v>44</v>
      </c>
    </row>
    <row r="6" spans="2:7" x14ac:dyDescent="0.25">
      <c r="B6" s="235" t="s">
        <v>74</v>
      </c>
      <c r="C6" s="235" t="s">
        <v>228</v>
      </c>
      <c r="D6" s="235" t="s">
        <v>229</v>
      </c>
    </row>
    <row r="7" spans="2:7" x14ac:dyDescent="0.25">
      <c r="B7" s="236" t="s">
        <v>75</v>
      </c>
      <c r="C7" s="237">
        <v>2.9380000000000003E-2</v>
      </c>
      <c r="D7" s="238">
        <v>2.9380000000000003E-2</v>
      </c>
      <c r="F7" s="32" t="s">
        <v>87</v>
      </c>
    </row>
    <row r="8" spans="2:7" ht="15.75" thickBot="1" x14ac:dyDescent="0.3">
      <c r="B8" s="239" t="s">
        <v>230</v>
      </c>
      <c r="C8" s="237">
        <v>1.2752676923076925E-2</v>
      </c>
      <c r="D8" s="238">
        <v>1.2752676923076925E-2</v>
      </c>
    </row>
    <row r="9" spans="2:7" ht="15.75" thickBot="1" x14ac:dyDescent="0.3">
      <c r="B9" s="239" t="s">
        <v>76</v>
      </c>
      <c r="C9" s="240">
        <v>0.88953488372093026</v>
      </c>
      <c r="D9" s="241">
        <v>0.88953488372093026</v>
      </c>
      <c r="F9" s="198" t="s">
        <v>269</v>
      </c>
      <c r="G9" s="199">
        <v>8.9399999999999993E-2</v>
      </c>
    </row>
    <row r="10" spans="2:7" x14ac:dyDescent="0.25">
      <c r="B10" s="239" t="s">
        <v>77</v>
      </c>
      <c r="C10" s="237">
        <v>6.3760297112569225E-2</v>
      </c>
      <c r="D10" s="238">
        <v>5.0007569458041606E-2</v>
      </c>
    </row>
    <row r="11" spans="2:7" x14ac:dyDescent="0.25">
      <c r="B11" s="242" t="s">
        <v>250</v>
      </c>
      <c r="C11" s="243">
        <v>9.8849685401118159E-2</v>
      </c>
      <c r="D11" s="244">
        <v>8.6616154406102305E-2</v>
      </c>
      <c r="F11" s="32" t="s">
        <v>66</v>
      </c>
    </row>
    <row r="12" spans="2:7" ht="15.75" thickBot="1" x14ac:dyDescent="0.3">
      <c r="B12" s="245" t="s">
        <v>78</v>
      </c>
      <c r="C12" s="237">
        <v>6.1212676923076928E-2</v>
      </c>
      <c r="D12" s="238">
        <v>5.3672676923076923E-2</v>
      </c>
    </row>
    <row r="13" spans="2:7" ht="15.75" thickBot="1" x14ac:dyDescent="0.3">
      <c r="B13" s="245" t="s">
        <v>79</v>
      </c>
      <c r="C13" s="243">
        <v>4.2848873846153844E-2</v>
      </c>
      <c r="D13" s="244">
        <v>3.7570873846153846E-2</v>
      </c>
      <c r="F13" s="198" t="s">
        <v>270</v>
      </c>
      <c r="G13" s="199">
        <f>+C19</f>
        <v>7.6454796290512508E-2</v>
      </c>
    </row>
    <row r="14" spans="2:7" ht="15.75" thickBot="1" x14ac:dyDescent="0.3">
      <c r="B14" s="239" t="s">
        <v>80</v>
      </c>
      <c r="C14" s="246">
        <v>0.5</v>
      </c>
      <c r="D14" s="247">
        <v>0.65</v>
      </c>
      <c r="F14" s="198" t="s">
        <v>270</v>
      </c>
      <c r="G14" s="199">
        <f>+D19</f>
        <v>5.3954366767400931E-2</v>
      </c>
    </row>
    <row r="15" spans="2:7" x14ac:dyDescent="0.25">
      <c r="B15" s="239" t="s">
        <v>81</v>
      </c>
      <c r="C15" s="246">
        <v>0.5</v>
      </c>
      <c r="D15" s="247">
        <v>0.35</v>
      </c>
    </row>
    <row r="16" spans="2:7" x14ac:dyDescent="0.25">
      <c r="B16" s="248" t="s">
        <v>83</v>
      </c>
      <c r="C16" s="243">
        <v>0.10121325660519429</v>
      </c>
      <c r="D16" s="244">
        <v>7.8195317203051146E-2</v>
      </c>
    </row>
    <row r="17" spans="2:4" x14ac:dyDescent="0.25">
      <c r="B17" s="248" t="s">
        <v>82</v>
      </c>
      <c r="C17" s="243">
        <v>7.0849279623636005E-2</v>
      </c>
      <c r="D17" s="244">
        <v>5.473672204213581E-2</v>
      </c>
    </row>
    <row r="18" spans="2:4" x14ac:dyDescent="0.25">
      <c r="B18" s="239" t="s">
        <v>231</v>
      </c>
      <c r="C18" s="237">
        <v>2.3E-2</v>
      </c>
      <c r="D18" s="238">
        <v>2.3E-2</v>
      </c>
    </row>
    <row r="19" spans="2:4" ht="15.75" thickBot="1" x14ac:dyDescent="0.3">
      <c r="B19" s="200" t="s">
        <v>84</v>
      </c>
      <c r="C19" s="249">
        <v>7.6454796290512508E-2</v>
      </c>
      <c r="D19" s="250">
        <v>5.3954366767400931E-2</v>
      </c>
    </row>
    <row r="20" spans="2:4" x14ac:dyDescent="0.25">
      <c r="B20" s="201"/>
      <c r="C20" s="201"/>
    </row>
    <row r="21" spans="2:4" x14ac:dyDescent="0.25">
      <c r="B21" s="201"/>
      <c r="C21" s="201"/>
    </row>
    <row r="22" spans="2:4" x14ac:dyDescent="0.25">
      <c r="B22" s="201"/>
      <c r="C22" s="201"/>
    </row>
    <row r="23" spans="2:4" x14ac:dyDescent="0.25">
      <c r="B23" s="201"/>
      <c r="C23" s="201"/>
    </row>
    <row r="24" spans="2:4" x14ac:dyDescent="0.25">
      <c r="B24" s="201"/>
      <c r="C24" s="201"/>
    </row>
    <row r="25" spans="2:4" x14ac:dyDescent="0.25">
      <c r="B25" s="201"/>
      <c r="C25" s="201"/>
    </row>
    <row r="26" spans="2:4" x14ac:dyDescent="0.25">
      <c r="B26" s="201"/>
      <c r="C26" s="201"/>
    </row>
    <row r="27" spans="2:4" x14ac:dyDescent="0.25">
      <c r="B27" s="201"/>
      <c r="C27" s="201"/>
    </row>
    <row r="28" spans="2:4" x14ac:dyDescent="0.25">
      <c r="B28" s="201"/>
      <c r="C28" s="201"/>
    </row>
    <row r="29" spans="2:4" x14ac:dyDescent="0.25">
      <c r="B29" s="201"/>
      <c r="C29" s="201"/>
    </row>
    <row r="30" spans="2:4" x14ac:dyDescent="0.25">
      <c r="B30" s="201"/>
      <c r="C30" s="201"/>
    </row>
    <row r="31" spans="2:4" x14ac:dyDescent="0.25">
      <c r="B31" s="201"/>
      <c r="C31" s="201"/>
    </row>
    <row r="32" spans="2:4" x14ac:dyDescent="0.25">
      <c r="B32" s="201"/>
      <c r="C32" s="201"/>
    </row>
    <row r="33" spans="2:5" x14ac:dyDescent="0.25">
      <c r="B33" s="201"/>
      <c r="C33" s="201"/>
    </row>
    <row r="34" spans="2:5" x14ac:dyDescent="0.25">
      <c r="B34" s="201"/>
      <c r="C34" s="201"/>
    </row>
    <row r="35" spans="2:5" x14ac:dyDescent="0.25">
      <c r="B35" s="201"/>
      <c r="C35" s="201"/>
    </row>
    <row r="36" spans="2:5" x14ac:dyDescent="0.25">
      <c r="B36" s="201"/>
      <c r="C36" s="201"/>
    </row>
    <row r="37" spans="2:5" x14ac:dyDescent="0.25">
      <c r="B37" s="201"/>
      <c r="C37" s="201"/>
    </row>
    <row r="38" spans="2:5" x14ac:dyDescent="0.25">
      <c r="B38" s="201"/>
      <c r="C38" s="201"/>
    </row>
    <row r="39" spans="2:5" x14ac:dyDescent="0.25">
      <c r="B39" s="201"/>
      <c r="C39" s="201"/>
      <c r="E39" s="297"/>
    </row>
    <row r="40" spans="2:5" x14ac:dyDescent="0.25">
      <c r="B40" s="201"/>
      <c r="C40" s="201"/>
    </row>
    <row r="41" spans="2:5" x14ac:dyDescent="0.25">
      <c r="B41" s="201"/>
      <c r="C41" s="201"/>
    </row>
    <row r="42" spans="2:5" x14ac:dyDescent="0.25">
      <c r="B42" s="201"/>
      <c r="C42" s="201"/>
    </row>
    <row r="43" spans="2:5" x14ac:dyDescent="0.25">
      <c r="B43" s="201"/>
      <c r="C43" s="201"/>
    </row>
  </sheetData>
  <sheetProtection algorithmName="SHA-512" hashValue="PhPiJ1mnQkbHgYPrYMEFxHAp+xJFxJE0KB1DUSRVlz9yKbwYHfEGkzVaugDBskYM0u1pZrNnl7v8YHkQY2cRhQ==" saltValue="v4fP2cqzEuXmrtLaw8G6jQ==" spinCount="100000" sheet="1" objects="1" scenarios="1"/>
  <phoneticPr fontId="0" type="noConversion"/>
  <pageMargins left="0.74803149606299213" right="0.74803149606299213" top="0.51181102362204722" bottom="0.51181102362204722" header="0.39370078740157483" footer="0"/>
  <pageSetup scale="83" orientation="landscape" verticalDpi="597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L39"/>
  <sheetViews>
    <sheetView zoomScaleNormal="100" workbookViewId="0"/>
  </sheetViews>
  <sheetFormatPr baseColWidth="10" defaultColWidth="11.42578125" defaultRowHeight="15" x14ac:dyDescent="0.25"/>
  <cols>
    <col min="1" max="1" width="1.7109375" style="20" customWidth="1"/>
    <col min="2" max="2" width="26" style="20" customWidth="1"/>
    <col min="3" max="3" width="23.140625" style="20" customWidth="1"/>
    <col min="4" max="7" width="18.5703125" style="20" bestFit="1" customWidth="1"/>
    <col min="8" max="8" width="13.42578125" style="20" bestFit="1" customWidth="1"/>
    <col min="9" max="16384" width="11.42578125" style="20"/>
  </cols>
  <sheetData>
    <row r="2" spans="2:8" x14ac:dyDescent="0.25">
      <c r="B2" s="53" t="s">
        <v>105</v>
      </c>
    </row>
    <row r="4" spans="2:8" x14ac:dyDescent="0.25">
      <c r="B4" s="32" t="s">
        <v>101</v>
      </c>
    </row>
    <row r="5" spans="2:8" x14ac:dyDescent="0.25">
      <c r="B5" s="20" t="s">
        <v>72</v>
      </c>
      <c r="D5" s="54"/>
      <c r="E5" s="54"/>
      <c r="F5" s="54"/>
      <c r="G5" s="54"/>
    </row>
    <row r="6" spans="2:8" ht="15.75" thickBot="1" x14ac:dyDescent="0.3"/>
    <row r="7" spans="2:8" x14ac:dyDescent="0.25">
      <c r="B7" s="299" t="s">
        <v>20</v>
      </c>
      <c r="C7" s="300"/>
      <c r="D7" s="11" t="s">
        <v>164</v>
      </c>
      <c r="E7" s="11" t="s">
        <v>165</v>
      </c>
      <c r="F7" s="11" t="s">
        <v>166</v>
      </c>
      <c r="G7" s="12" t="s">
        <v>167</v>
      </c>
    </row>
    <row r="8" spans="2:8" ht="3" customHeight="1" x14ac:dyDescent="0.25">
      <c r="B8" s="52"/>
      <c r="C8" s="55"/>
      <c r="D8" s="55"/>
      <c r="E8" s="55"/>
      <c r="F8" s="55"/>
      <c r="G8" s="56"/>
    </row>
    <row r="9" spans="2:8" x14ac:dyDescent="0.25">
      <c r="B9" s="52" t="s">
        <v>5</v>
      </c>
      <c r="C9" s="55" t="s">
        <v>29</v>
      </c>
      <c r="D9" s="57">
        <f>+ACTIVOS!G14*RETORNO!$G$9</f>
        <v>33980.686385924346</v>
      </c>
      <c r="E9" s="57">
        <f>+ACTIVOS!H14*RETORNO!$G$9</f>
        <v>36418.665200975141</v>
      </c>
      <c r="F9" s="57">
        <f>+ACTIVOS!I14*RETORNO!$G$9</f>
        <v>37780.8942929798</v>
      </c>
      <c r="G9" s="58">
        <f>+ACTIVOS!J14*RETORNO!$G$9</f>
        <v>38568.809858700588</v>
      </c>
    </row>
    <row r="10" spans="2:8" x14ac:dyDescent="0.25">
      <c r="B10" s="52" t="s">
        <v>6</v>
      </c>
      <c r="C10" s="55" t="s">
        <v>30</v>
      </c>
      <c r="D10" s="57">
        <f>+ACTIVOS!G9*'PERDIDAS y OTROS'!E12</f>
        <v>22327.112591854224</v>
      </c>
      <c r="E10" s="57">
        <f>+ACTIVOS!H9*'PERDIDAS y OTROS'!F12</f>
        <v>24093.947115784638</v>
      </c>
      <c r="F10" s="57">
        <f>+ACTIVOS!I9*'PERDIDAS y OTROS'!G12</f>
        <v>25495.066011281935</v>
      </c>
      <c r="G10" s="58">
        <f>+ACTIVOS!J9*'PERDIDAS y OTROS'!H12</f>
        <v>26717.249597070473</v>
      </c>
    </row>
    <row r="11" spans="2:8" x14ac:dyDescent="0.25">
      <c r="B11" s="52" t="s">
        <v>7</v>
      </c>
      <c r="C11" s="55" t="s">
        <v>28</v>
      </c>
      <c r="D11" s="57">
        <f>+REGRESIONES!D60/1000</f>
        <v>29145.774749742857</v>
      </c>
      <c r="E11" s="57">
        <f>+REGRESIONES!E60/1000</f>
        <v>29989.057900783242</v>
      </c>
      <c r="F11" s="57">
        <f>+REGRESIONES!F60/1000</f>
        <v>30841.334291769537</v>
      </c>
      <c r="G11" s="58">
        <f>+REGRESIONES!G60/1000</f>
        <v>31725.848176465235</v>
      </c>
      <c r="H11" s="54"/>
    </row>
    <row r="12" spans="2:8" x14ac:dyDescent="0.25">
      <c r="B12" s="52" t="s">
        <v>8</v>
      </c>
      <c r="C12" s="55" t="s">
        <v>26</v>
      </c>
      <c r="D12" s="57">
        <f>+REGRESIONES!D62/1000</f>
        <v>18028.971501196182</v>
      </c>
      <c r="E12" s="57">
        <f>+REGRESIONES!E62/1000</f>
        <v>18530.432015149981</v>
      </c>
      <c r="F12" s="57">
        <f>+REGRESIONES!F62/1000</f>
        <v>19045.84022695426</v>
      </c>
      <c r="G12" s="58">
        <f>+REGRESIONES!G62/1000</f>
        <v>19575.584079966364</v>
      </c>
      <c r="H12" s="54"/>
    </row>
    <row r="13" spans="2:8" ht="3" customHeight="1" x14ac:dyDescent="0.25">
      <c r="B13" s="52"/>
      <c r="C13" s="55"/>
      <c r="D13" s="59"/>
      <c r="E13" s="59"/>
      <c r="F13" s="59"/>
      <c r="G13" s="60"/>
    </row>
    <row r="14" spans="2:8" x14ac:dyDescent="0.25">
      <c r="B14" s="305" t="s">
        <v>31</v>
      </c>
      <c r="C14" s="306"/>
      <c r="D14" s="61">
        <f>+D12+D11+D10+D9</f>
        <v>103482.54522871762</v>
      </c>
      <c r="E14" s="61">
        <f>+E12+E11+E10+E9</f>
        <v>109032.10223269301</v>
      </c>
      <c r="F14" s="61">
        <f>+F12+F11+F10+F9</f>
        <v>113163.13482298554</v>
      </c>
      <c r="G14" s="62">
        <f>+G12+G11+G10+G9</f>
        <v>116587.49171220267</v>
      </c>
    </row>
    <row r="15" spans="2:8" ht="3" customHeight="1" x14ac:dyDescent="0.25">
      <c r="B15" s="63"/>
      <c r="C15" s="64"/>
      <c r="D15" s="57"/>
      <c r="E15" s="57"/>
      <c r="F15" s="57"/>
      <c r="G15" s="58"/>
    </row>
    <row r="16" spans="2:8" x14ac:dyDescent="0.25">
      <c r="B16" s="52" t="s">
        <v>145</v>
      </c>
      <c r="C16" s="55" t="s">
        <v>143</v>
      </c>
      <c r="D16" s="57">
        <f>+('PERDIDAS y OTROS'!E9+'PERDIDAS y OTROS'!E11)*'PERDIDAS y OTROS'!E8*(DEMANDA!E12+DEMANDA!E13)/1000</f>
        <v>49904.746173948428</v>
      </c>
      <c r="E16" s="57">
        <f>+('PERDIDAS y OTROS'!F9+'PERDIDAS y OTROS'!F11)*'PERDIDAS y OTROS'!F8*(DEMANDA!F12+DEMANDA!F13)/1000</f>
        <v>51478.287854065864</v>
      </c>
      <c r="F16" s="57">
        <f>+('PERDIDAS y OTROS'!G9+'PERDIDAS y OTROS'!G11)*'PERDIDAS y OTROS'!G8*(DEMANDA!G12+DEMANDA!G13)/1000</f>
        <v>46812.401209488366</v>
      </c>
      <c r="G16" s="58">
        <f>+('PERDIDAS y OTROS'!H9+'PERDIDAS y OTROS'!H11)*'PERDIDAS y OTROS'!H8*(DEMANDA!H12+DEMANDA!H13)/1000</f>
        <v>46756.657903767511</v>
      </c>
    </row>
    <row r="17" spans="2:12" x14ac:dyDescent="0.25">
      <c r="B17" s="52" t="s">
        <v>91</v>
      </c>
      <c r="C17" s="55" t="s">
        <v>143</v>
      </c>
      <c r="D17" s="57">
        <f>+'PERDIDAS y OTROS'!E10*'PERDIDAS y OTROS'!E8*DEMANDA!E14/1000</f>
        <v>503.07073559029755</v>
      </c>
      <c r="E17" s="57">
        <f>+'PERDIDAS y OTROS'!F10*'PERDIDAS y OTROS'!F8*DEMANDA!F14/1000</f>
        <v>546.42825205021768</v>
      </c>
      <c r="F17" s="57">
        <f>+'PERDIDAS y OTROS'!G10*'PERDIDAS y OTROS'!G8*DEMANDA!G14/1000</f>
        <v>444.26177589098853</v>
      </c>
      <c r="G17" s="58">
        <f>+'PERDIDAS y OTROS'!H10*'PERDIDAS y OTROS'!H8*DEMANDA!H14/1000</f>
        <v>430.49435004226746</v>
      </c>
    </row>
    <row r="18" spans="2:12" ht="4.5" customHeight="1" x14ac:dyDescent="0.25">
      <c r="B18" s="63"/>
      <c r="C18" s="64"/>
      <c r="D18" s="57"/>
      <c r="E18" s="57"/>
      <c r="F18" s="57"/>
      <c r="G18" s="58"/>
    </row>
    <row r="19" spans="2:12" x14ac:dyDescent="0.25">
      <c r="B19" s="305" t="s">
        <v>11</v>
      </c>
      <c r="C19" s="306"/>
      <c r="D19" s="61">
        <f>+D16+D17</f>
        <v>50407.816909538727</v>
      </c>
      <c r="E19" s="61">
        <f>+E16+E17</f>
        <v>52024.71610611608</v>
      </c>
      <c r="F19" s="61">
        <f>+F16+F17</f>
        <v>47256.662985379357</v>
      </c>
      <c r="G19" s="62">
        <f>+G16+G17</f>
        <v>47187.152253809778</v>
      </c>
      <c r="L19" s="54"/>
    </row>
    <row r="20" spans="2:12" ht="1.5" customHeight="1" x14ac:dyDescent="0.25">
      <c r="B20" s="63"/>
      <c r="C20" s="55"/>
      <c r="D20" s="57"/>
      <c r="E20" s="57"/>
      <c r="F20" s="57"/>
      <c r="G20" s="58"/>
    </row>
    <row r="21" spans="2:12" ht="15.75" thickBot="1" x14ac:dyDescent="0.3">
      <c r="B21" s="307" t="s">
        <v>14</v>
      </c>
      <c r="C21" s="308"/>
      <c r="D21" s="65">
        <f>+D14+D19</f>
        <v>153890.36213825634</v>
      </c>
      <c r="E21" s="65">
        <f>+E14+E19</f>
        <v>161056.8183388091</v>
      </c>
      <c r="F21" s="65">
        <f>+F14+F19</f>
        <v>160419.79780836491</v>
      </c>
      <c r="G21" s="66">
        <f>+G14+G19</f>
        <v>163774.64396601246</v>
      </c>
    </row>
    <row r="23" spans="2:12" x14ac:dyDescent="0.25">
      <c r="B23" s="67"/>
      <c r="C23" s="67"/>
    </row>
    <row r="24" spans="2:12" x14ac:dyDescent="0.25">
      <c r="B24" s="67"/>
    </row>
    <row r="25" spans="2:12" x14ac:dyDescent="0.25">
      <c r="B25" s="67"/>
      <c r="C25" s="67"/>
    </row>
    <row r="26" spans="2:12" x14ac:dyDescent="0.25">
      <c r="B26" s="67"/>
    </row>
    <row r="27" spans="2:12" x14ac:dyDescent="0.25">
      <c r="B27" s="67"/>
      <c r="C27" s="67"/>
      <c r="D27" s="54"/>
      <c r="E27" s="54"/>
      <c r="F27" s="54"/>
      <c r="G27" s="54"/>
    </row>
    <row r="28" spans="2:12" x14ac:dyDescent="0.25">
      <c r="B28" s="67"/>
      <c r="C28" s="67"/>
    </row>
    <row r="29" spans="2:12" x14ac:dyDescent="0.25">
      <c r="B29" s="67"/>
      <c r="C29" s="67"/>
    </row>
    <row r="39" spans="5:5" x14ac:dyDescent="0.25">
      <c r="E39" s="297"/>
    </row>
  </sheetData>
  <sheetProtection algorithmName="SHA-512" hashValue="d6SUuiSJlRY5TfbUFzXDfGJENoeVLJkqhOOkESXgARwSGSLBoAITIB2Og61gyaSpZmlkjlnyZ7NHRX6UZpfalA==" saltValue="shQ2xIdcgAv8s79kOvvNKw==" spinCount="100000" sheet="1" objects="1" scenarios="1"/>
  <mergeCells count="4">
    <mergeCell ref="B7:C7"/>
    <mergeCell ref="B14:C14"/>
    <mergeCell ref="B19:C19"/>
    <mergeCell ref="B21:C21"/>
  </mergeCells>
  <phoneticPr fontId="0" type="noConversion"/>
  <pageMargins left="0.74803149606299213" right="0.74803149606299213" top="0.51181102362204722" bottom="0.51181102362204722" header="0.39370078740157483" footer="0"/>
  <pageSetup scale="97" orientation="landscape" horizontalDpi="300" verticalDpi="300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G39"/>
  <sheetViews>
    <sheetView zoomScaleNormal="100" workbookViewId="0"/>
  </sheetViews>
  <sheetFormatPr baseColWidth="10" defaultColWidth="11.42578125" defaultRowHeight="15" x14ac:dyDescent="0.25"/>
  <cols>
    <col min="1" max="1" width="2.7109375" style="20" customWidth="1"/>
    <col min="2" max="2" width="24.85546875" style="20" customWidth="1"/>
    <col min="3" max="3" width="14.28515625" style="20" customWidth="1"/>
    <col min="4" max="7" width="18.5703125" style="20" bestFit="1" customWidth="1"/>
    <col min="8" max="8" width="13.42578125" style="20" bestFit="1" customWidth="1"/>
    <col min="9" max="16384" width="11.42578125" style="20"/>
  </cols>
  <sheetData>
    <row r="2" spans="2:7" x14ac:dyDescent="0.25">
      <c r="B2" s="53" t="s">
        <v>105</v>
      </c>
    </row>
    <row r="4" spans="2:7" x14ac:dyDescent="0.25">
      <c r="B4" s="32" t="s">
        <v>265</v>
      </c>
    </row>
    <row r="5" spans="2:7" x14ac:dyDescent="0.25">
      <c r="B5" s="20" t="s">
        <v>72</v>
      </c>
    </row>
    <row r="6" spans="2:7" ht="15.75" thickBot="1" x14ac:dyDescent="0.3">
      <c r="B6" s="68"/>
      <c r="C6" s="67"/>
    </row>
    <row r="7" spans="2:7" x14ac:dyDescent="0.25">
      <c r="B7" s="299" t="s">
        <v>12</v>
      </c>
      <c r="C7" s="300"/>
      <c r="D7" s="11" t="s">
        <v>164</v>
      </c>
      <c r="E7" s="11" t="s">
        <v>165</v>
      </c>
      <c r="F7" s="11" t="s">
        <v>166</v>
      </c>
      <c r="G7" s="12" t="s">
        <v>167</v>
      </c>
    </row>
    <row r="8" spans="2:7" ht="3.75" customHeight="1" x14ac:dyDescent="0.25">
      <c r="B8" s="35"/>
      <c r="C8" s="55"/>
      <c r="D8" s="55"/>
      <c r="E8" s="55"/>
      <c r="F8" s="55"/>
      <c r="G8" s="56"/>
    </row>
    <row r="9" spans="2:7" x14ac:dyDescent="0.25">
      <c r="B9" s="52" t="s">
        <v>5</v>
      </c>
      <c r="C9" s="55" t="s">
        <v>35</v>
      </c>
      <c r="D9" s="57">
        <f>+ACTIVOS!G15*RETORNO!$G$9</f>
        <v>4571.1575659556229</v>
      </c>
      <c r="E9" s="57">
        <f>+ACTIVOS!H15*RETORNO!$G$9</f>
        <v>4495.1975843754635</v>
      </c>
      <c r="F9" s="57">
        <f>+ACTIVOS!I15*RETORNO!$G$9</f>
        <v>4378.3033625059361</v>
      </c>
      <c r="G9" s="58">
        <f>+ACTIVOS!J15*RETORNO!$G$9</f>
        <v>4257.0759443571878</v>
      </c>
    </row>
    <row r="10" spans="2:7" x14ac:dyDescent="0.25">
      <c r="B10" s="52" t="s">
        <v>6</v>
      </c>
      <c r="C10" s="55" t="s">
        <v>36</v>
      </c>
      <c r="D10" s="57">
        <f>+ACTIVOS!G10*'PERDIDAS y OTROS'!E13</f>
        <v>3541.7608400018221</v>
      </c>
      <c r="E10" s="57">
        <f>+ACTIVOS!H10*'PERDIDAS y OTROS'!F13</f>
        <v>3672.7463347872053</v>
      </c>
      <c r="F10" s="57">
        <f>+ACTIVOS!I10*'PERDIDAS y OTROS'!G13</f>
        <v>3787.826717270184</v>
      </c>
      <c r="G10" s="58">
        <f>+ACTIVOS!J10*'PERDIDAS y OTROS'!H13</f>
        <v>3906.1480776877329</v>
      </c>
    </row>
    <row r="11" spans="2:7" x14ac:dyDescent="0.25">
      <c r="B11" s="52" t="s">
        <v>37</v>
      </c>
      <c r="C11" s="55" t="s">
        <v>21</v>
      </c>
      <c r="D11" s="57">
        <f>+REGRESIONES!D61/1000</f>
        <v>35225.386594083269</v>
      </c>
      <c r="E11" s="57">
        <f>+REGRESIONES!E61/1000</f>
        <v>36357.224150227237</v>
      </c>
      <c r="F11" s="57">
        <f>+REGRESIONES!F61/1000</f>
        <v>37525.4291213908</v>
      </c>
      <c r="G11" s="58">
        <f>+REGRESIONES!G61/1000</f>
        <v>38731.17003999131</v>
      </c>
    </row>
    <row r="12" spans="2:7" ht="3" customHeight="1" x14ac:dyDescent="0.25">
      <c r="B12" s="63"/>
      <c r="C12" s="64"/>
      <c r="D12" s="57"/>
      <c r="E12" s="57"/>
      <c r="F12" s="57"/>
      <c r="G12" s="58"/>
    </row>
    <row r="13" spans="2:7" ht="15.75" thickBot="1" x14ac:dyDescent="0.3">
      <c r="B13" s="307" t="s">
        <v>15</v>
      </c>
      <c r="C13" s="308"/>
      <c r="D13" s="65">
        <f>+D9+D10+D11</f>
        <v>43338.305000040717</v>
      </c>
      <c r="E13" s="65">
        <f>+E9+E10+E11</f>
        <v>44525.168069389903</v>
      </c>
      <c r="F13" s="65">
        <f>+F9+F10+F11</f>
        <v>45691.559201166921</v>
      </c>
      <c r="G13" s="66">
        <f>+G9+G10+G11</f>
        <v>46894.394062036226</v>
      </c>
    </row>
    <row r="16" spans="2:7" x14ac:dyDescent="0.25">
      <c r="D16" s="54"/>
      <c r="E16" s="54"/>
      <c r="F16" s="54"/>
      <c r="G16" s="54"/>
    </row>
    <row r="17" spans="4:7" x14ac:dyDescent="0.25">
      <c r="D17" s="54"/>
      <c r="E17" s="54"/>
      <c r="F17" s="54"/>
      <c r="G17" s="54"/>
    </row>
    <row r="18" spans="4:7" x14ac:dyDescent="0.25">
      <c r="D18" s="50"/>
      <c r="E18" s="50"/>
      <c r="F18" s="50"/>
      <c r="G18" s="50"/>
    </row>
    <row r="19" spans="4:7" x14ac:dyDescent="0.25">
      <c r="D19" s="54"/>
      <c r="E19" s="54"/>
      <c r="F19" s="54"/>
      <c r="G19" s="54"/>
    </row>
    <row r="20" spans="4:7" x14ac:dyDescent="0.25">
      <c r="D20" s="54"/>
      <c r="E20" s="54"/>
      <c r="F20" s="54"/>
      <c r="G20" s="54"/>
    </row>
    <row r="39" spans="5:5" x14ac:dyDescent="0.25">
      <c r="E39" s="297"/>
    </row>
  </sheetData>
  <sheetProtection algorithmName="SHA-512" hashValue="ddRd0uhQZWZnjw5ELyBQXnVH7kJiqh69s3yk3YS9r+U6s5SFHGgHfFK+SmGUdo8z+P19IKi7Cm6xg/qvHjbZ5g==" saltValue="rOFV/fA9qrvwrtQJFfV9Dg==" spinCount="100000" sheet="1" objects="1" scenarios="1"/>
  <mergeCells count="2">
    <mergeCell ref="B7:C7"/>
    <mergeCell ref="B13:C13"/>
  </mergeCells>
  <phoneticPr fontId="0" type="noConversion"/>
  <pageMargins left="0.74803149606299213" right="0.74803149606299213" top="0.51181102362204722" bottom="0.51181102362204722" header="0.39370078740157483" footer="0"/>
  <pageSetup scale="96" orientation="landscape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H39"/>
  <sheetViews>
    <sheetView zoomScaleNormal="100" workbookViewId="0"/>
  </sheetViews>
  <sheetFormatPr baseColWidth="10" defaultColWidth="11.42578125" defaultRowHeight="15" x14ac:dyDescent="0.25"/>
  <cols>
    <col min="1" max="1" width="1.42578125" style="20" customWidth="1"/>
    <col min="2" max="2" width="28.28515625" style="20" customWidth="1"/>
    <col min="3" max="3" width="19.5703125" style="20" customWidth="1"/>
    <col min="4" max="7" width="18.5703125" style="20" bestFit="1" customWidth="1"/>
    <col min="8" max="8" width="13.42578125" style="20" bestFit="1" customWidth="1"/>
    <col min="9" max="16384" width="11.42578125" style="20"/>
  </cols>
  <sheetData>
    <row r="2" spans="2:7" x14ac:dyDescent="0.25">
      <c r="B2" s="53" t="s">
        <v>105</v>
      </c>
    </row>
    <row r="4" spans="2:7" x14ac:dyDescent="0.25">
      <c r="B4" s="32" t="s">
        <v>102</v>
      </c>
    </row>
    <row r="5" spans="2:7" x14ac:dyDescent="0.25">
      <c r="B5" s="20" t="s">
        <v>72</v>
      </c>
    </row>
    <row r="6" spans="2:7" ht="15.75" thickBot="1" x14ac:dyDescent="0.3"/>
    <row r="7" spans="2:7" x14ac:dyDescent="0.25">
      <c r="B7" s="299" t="s">
        <v>9</v>
      </c>
      <c r="C7" s="300"/>
      <c r="D7" s="11" t="s">
        <v>164</v>
      </c>
      <c r="E7" s="11" t="s">
        <v>165</v>
      </c>
      <c r="F7" s="11" t="s">
        <v>166</v>
      </c>
      <c r="G7" s="12" t="s">
        <v>167</v>
      </c>
    </row>
    <row r="8" spans="2:7" ht="4.5" customHeight="1" x14ac:dyDescent="0.25">
      <c r="B8" s="52"/>
      <c r="C8" s="55"/>
      <c r="D8" s="55"/>
      <c r="E8" s="55"/>
      <c r="F8" s="55"/>
      <c r="G8" s="56"/>
    </row>
    <row r="9" spans="2:7" x14ac:dyDescent="0.25">
      <c r="B9" s="52" t="s">
        <v>5</v>
      </c>
      <c r="C9" s="55" t="s">
        <v>38</v>
      </c>
      <c r="D9" s="57">
        <f>+ACTIVOS!G16*RETORNO!$G$9</f>
        <v>1618.3436965643571</v>
      </c>
      <c r="E9" s="57">
        <f>+ACTIVOS!H16*RETORNO!$G$9</f>
        <v>1825.138178489176</v>
      </c>
      <c r="F9" s="57">
        <f>+ACTIVOS!I16*RETORNO!$G$9</f>
        <v>1983.1823449178473</v>
      </c>
      <c r="G9" s="58">
        <f>+ACTIVOS!J16*RETORNO!$G$9</f>
        <v>2185.2670976220475</v>
      </c>
    </row>
    <row r="10" spans="2:7" x14ac:dyDescent="0.25">
      <c r="B10" s="52" t="s">
        <v>6</v>
      </c>
      <c r="C10" s="55" t="s">
        <v>39</v>
      </c>
      <c r="D10" s="57">
        <f>+ACTIVOS!G11*'PERDIDAS y OTROS'!E14</f>
        <v>1206.8273823093671</v>
      </c>
      <c r="E10" s="57">
        <f>+ACTIVOS!H11*'PERDIDAS y OTROS'!F14</f>
        <v>1370.7142042718669</v>
      </c>
      <c r="F10" s="57">
        <f>+ACTIVOS!I11*'PERDIDAS y OTROS'!G14</f>
        <v>1516.8424672343672</v>
      </c>
      <c r="G10" s="58">
        <f>+ACTIVOS!J11*'PERDIDAS y OTROS'!H14</f>
        <v>1692.710539159367</v>
      </c>
    </row>
    <row r="11" spans="2:7" x14ac:dyDescent="0.25">
      <c r="B11" s="52" t="s">
        <v>7</v>
      </c>
      <c r="C11" s="55" t="s">
        <v>40</v>
      </c>
      <c r="D11" s="57">
        <f>$D$24*(D23+E23)/2/1000</f>
        <v>748.74889500000006</v>
      </c>
      <c r="E11" s="57">
        <f>$D$24*(E23+F23)/2/1000</f>
        <v>772.05245000000002</v>
      </c>
      <c r="F11" s="57">
        <f>$D$24*(F23+G23)/2/1000</f>
        <v>798.65395000000012</v>
      </c>
      <c r="G11" s="58">
        <f>$D$24*(G23+H23)/2/1000</f>
        <v>822.80362500000001</v>
      </c>
    </row>
    <row r="12" spans="2:7" ht="2.25" customHeight="1" x14ac:dyDescent="0.25">
      <c r="B12" s="63"/>
      <c r="C12" s="64"/>
      <c r="D12" s="57"/>
      <c r="E12" s="57"/>
      <c r="F12" s="57"/>
      <c r="G12" s="58"/>
    </row>
    <row r="13" spans="2:7" ht="15.75" thickBot="1" x14ac:dyDescent="0.3">
      <c r="B13" s="307" t="s">
        <v>13</v>
      </c>
      <c r="C13" s="308"/>
      <c r="D13" s="65">
        <f>+D9+D10+D11</f>
        <v>3573.9199738737243</v>
      </c>
      <c r="E13" s="65">
        <f t="shared" ref="E13:G13" si="0">+E9+E10+E11</f>
        <v>3967.9048327610431</v>
      </c>
      <c r="F13" s="65">
        <f t="shared" si="0"/>
        <v>4298.6787621522144</v>
      </c>
      <c r="G13" s="66">
        <f t="shared" si="0"/>
        <v>4700.7812617814143</v>
      </c>
    </row>
    <row r="22" spans="2:8" x14ac:dyDescent="0.25">
      <c r="D22" s="70">
        <v>43252</v>
      </c>
      <c r="E22" s="70">
        <v>43617</v>
      </c>
      <c r="F22" s="70">
        <v>43983</v>
      </c>
      <c r="G22" s="70">
        <v>44348</v>
      </c>
      <c r="H22" s="70">
        <v>44713</v>
      </c>
    </row>
    <row r="23" spans="2:8" x14ac:dyDescent="0.25">
      <c r="B23" s="15" t="s">
        <v>85</v>
      </c>
      <c r="C23" s="15"/>
      <c r="D23" s="274">
        <v>115391</v>
      </c>
      <c r="E23" s="274">
        <v>118228</v>
      </c>
      <c r="F23" s="274">
        <v>122662</v>
      </c>
      <c r="G23" s="274">
        <v>126528</v>
      </c>
      <c r="H23" s="274">
        <v>130197</v>
      </c>
    </row>
    <row r="24" spans="2:8" x14ac:dyDescent="0.25">
      <c r="B24" s="69" t="s">
        <v>86</v>
      </c>
      <c r="C24" s="15"/>
      <c r="D24" s="275">
        <v>6.41</v>
      </c>
      <c r="E24" s="67"/>
      <c r="F24" s="67"/>
      <c r="G24" s="67"/>
      <c r="H24" s="67"/>
    </row>
    <row r="39" spans="5:5" x14ac:dyDescent="0.25">
      <c r="E39" s="297"/>
    </row>
  </sheetData>
  <sheetProtection algorithmName="SHA-512" hashValue="WC4RoaVhKwhg7CubJh1p8FnPz3HcE2GYhbYjx5OB4uyvtLLacWdY8M7PDHk6BIhhilBWitG6e+HaJ70J75BgSw==" saltValue="uMA5U4nA3XQ/uru23kMViA==" spinCount="100000" sheet="1" objects="1" scenarios="1"/>
  <mergeCells count="2">
    <mergeCell ref="B7:C7"/>
    <mergeCell ref="B13:C13"/>
  </mergeCells>
  <phoneticPr fontId="0" type="noConversion"/>
  <pageMargins left="0.74803149606299213" right="0.74803149606299213" top="0.51181102362204722" bottom="0.51181102362204722" header="0.39370078740157483" footer="0"/>
  <pageSetup scale="89" orientation="landscape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3:M39"/>
  <sheetViews>
    <sheetView zoomScaleNormal="100" workbookViewId="0"/>
  </sheetViews>
  <sheetFormatPr baseColWidth="10" defaultColWidth="11.42578125" defaultRowHeight="15" x14ac:dyDescent="0.25"/>
  <cols>
    <col min="1" max="1" width="1.7109375" style="20" customWidth="1"/>
    <col min="2" max="2" width="35.28515625" style="20" customWidth="1"/>
    <col min="3" max="3" width="11.42578125" style="20"/>
    <col min="4" max="4" width="13.85546875" style="20" customWidth="1"/>
    <col min="5" max="8" width="15.7109375" style="20" bestFit="1" customWidth="1"/>
    <col min="9" max="16384" width="11.42578125" style="20"/>
  </cols>
  <sheetData>
    <row r="3" spans="2:13" x14ac:dyDescent="0.25">
      <c r="B3" s="53" t="s">
        <v>105</v>
      </c>
    </row>
    <row r="4" spans="2:13" ht="15.75" thickBot="1" x14ac:dyDescent="0.3"/>
    <row r="5" spans="2:13" x14ac:dyDescent="0.25">
      <c r="B5" s="234" t="s">
        <v>2</v>
      </c>
      <c r="C5" s="234" t="s">
        <v>266</v>
      </c>
      <c r="D5" s="234" t="s">
        <v>62</v>
      </c>
      <c r="E5" s="234" t="s">
        <v>164</v>
      </c>
      <c r="F5" s="234" t="s">
        <v>165</v>
      </c>
      <c r="G5" s="234" t="s">
        <v>166</v>
      </c>
      <c r="H5" s="234" t="s">
        <v>167</v>
      </c>
      <c r="I5" s="234" t="s">
        <v>61</v>
      </c>
    </row>
    <row r="6" spans="2:13" x14ac:dyDescent="0.25">
      <c r="B6" s="72" t="s">
        <v>3</v>
      </c>
      <c r="C6" s="73" t="s">
        <v>71</v>
      </c>
      <c r="D6" s="276">
        <f>+D7/8760/D17</f>
        <v>691.549070512252</v>
      </c>
      <c r="E6" s="276">
        <f t="shared" ref="E6:H6" si="0">+E7/8760/E17</f>
        <v>710.65473495802257</v>
      </c>
      <c r="F6" s="276">
        <f t="shared" si="0"/>
        <v>735.15245510404156</v>
      </c>
      <c r="G6" s="276">
        <f t="shared" si="0"/>
        <v>753.48694419884225</v>
      </c>
      <c r="H6" s="276">
        <f t="shared" si="0"/>
        <v>775.90486169627786</v>
      </c>
      <c r="I6" s="74">
        <f>(H6/D6)^(1/4)-1</f>
        <v>2.9191919538870792E-2</v>
      </c>
    </row>
    <row r="7" spans="2:13" x14ac:dyDescent="0.25">
      <c r="B7" s="72" t="s">
        <v>187</v>
      </c>
      <c r="C7" s="73" t="s">
        <v>10</v>
      </c>
      <c r="D7" s="277">
        <f>+(D12+D13)/(1-D15)+D14/(1-D16)</f>
        <v>4240578.9003811292</v>
      </c>
      <c r="E7" s="277">
        <f t="shared" ref="E7:H7" si="1">+(E12+E13)/(1-E15)+E14/(1-E16)</f>
        <v>4357734.8347625937</v>
      </c>
      <c r="F7" s="277">
        <f t="shared" si="1"/>
        <v>4507954.8546979828</v>
      </c>
      <c r="G7" s="277">
        <f t="shared" si="1"/>
        <v>4620381.9418273</v>
      </c>
      <c r="H7" s="277">
        <f t="shared" si="1"/>
        <v>4757848.6119215759</v>
      </c>
      <c r="I7" s="74">
        <f>(H7/D7)^(1/4)-1</f>
        <v>2.9191919538870792E-2</v>
      </c>
    </row>
    <row r="8" spans="2:13" x14ac:dyDescent="0.25">
      <c r="B8" s="76" t="s">
        <v>4</v>
      </c>
      <c r="C8" s="77" t="s">
        <v>23</v>
      </c>
      <c r="D8" s="278">
        <v>449481</v>
      </c>
      <c r="E8" s="278">
        <f>+D8*1.032</f>
        <v>463864.39199999999</v>
      </c>
      <c r="F8" s="278">
        <f>+E8*1.032</f>
        <v>478708.05254399998</v>
      </c>
      <c r="G8" s="278">
        <f>+F8*1.032</f>
        <v>494026.71022540797</v>
      </c>
      <c r="H8" s="278">
        <f>+G8*1.032</f>
        <v>509835.56495262106</v>
      </c>
      <c r="I8" s="78">
        <f>(H8/D8)^(1/4)-1</f>
        <v>3.2000000000000028E-2</v>
      </c>
    </row>
    <row r="9" spans="2:13" x14ac:dyDescent="0.25">
      <c r="B9" s="15" t="s">
        <v>58</v>
      </c>
      <c r="C9" s="79" t="s">
        <v>60</v>
      </c>
      <c r="D9" s="80">
        <f>D6/D8*1000</f>
        <v>1.538550173449494</v>
      </c>
      <c r="E9" s="80">
        <v>1.7602828317668362</v>
      </c>
      <c r="F9" s="80">
        <v>1.7073982423736751</v>
      </c>
      <c r="G9" s="80">
        <v>1.7539702488403446</v>
      </c>
      <c r="H9" s="80">
        <v>1.7830909914853501</v>
      </c>
      <c r="I9" s="45"/>
      <c r="J9" s="45"/>
      <c r="K9" s="45"/>
      <c r="L9" s="45"/>
      <c r="M9" s="45"/>
    </row>
    <row r="10" spans="2:13" x14ac:dyDescent="0.25">
      <c r="B10" s="15" t="s">
        <v>59</v>
      </c>
      <c r="C10" s="79" t="s">
        <v>64</v>
      </c>
      <c r="D10" s="80">
        <f>D12/D8</f>
        <v>7.8947274745762339</v>
      </c>
      <c r="E10" s="80">
        <v>8.5515096268739459</v>
      </c>
      <c r="F10" s="80">
        <v>8.6712615972672875</v>
      </c>
      <c r="G10" s="80">
        <v>8.5994653017389115</v>
      </c>
      <c r="H10" s="80">
        <v>8.7395794447564299</v>
      </c>
      <c r="I10" s="45"/>
      <c r="J10" s="45"/>
      <c r="K10" s="45"/>
      <c r="L10" s="45"/>
      <c r="M10" s="45"/>
    </row>
    <row r="11" spans="2:13" x14ac:dyDescent="0.25">
      <c r="J11" s="45"/>
      <c r="K11" s="45"/>
      <c r="L11" s="45"/>
      <c r="M11" s="45"/>
    </row>
    <row r="12" spans="2:13" x14ac:dyDescent="0.25">
      <c r="B12" s="69" t="s">
        <v>142</v>
      </c>
      <c r="C12" s="79" t="s">
        <v>10</v>
      </c>
      <c r="D12" s="75">
        <v>3548530</v>
      </c>
      <c r="E12" s="75">
        <f>+D12*(1+$J$12)</f>
        <v>3659244.1359999995</v>
      </c>
      <c r="F12" s="75">
        <f t="shared" ref="F12:H12" si="2">+E12*(1+$J$12)</f>
        <v>3773412.5530431992</v>
      </c>
      <c r="G12" s="75">
        <f t="shared" si="2"/>
        <v>3891143.0246981466</v>
      </c>
      <c r="H12" s="75">
        <f t="shared" si="2"/>
        <v>4012546.6870687283</v>
      </c>
      <c r="I12" s="279">
        <f>(H12/D12)^(1/4)-1</f>
        <v>3.1199999999999894E-2</v>
      </c>
      <c r="J12" s="81">
        <v>3.1199999999999999E-2</v>
      </c>
      <c r="K12" s="45"/>
      <c r="L12" s="45"/>
      <c r="M12" s="45"/>
    </row>
    <row r="13" spans="2:13" x14ac:dyDescent="0.25">
      <c r="B13" s="15" t="s">
        <v>205</v>
      </c>
      <c r="C13" s="79" t="s">
        <v>10</v>
      </c>
      <c r="D13" s="75">
        <v>66293</v>
      </c>
      <c r="E13" s="75">
        <v>69997</v>
      </c>
      <c r="F13" s="75">
        <v>73226</v>
      </c>
      <c r="G13" s="75">
        <v>75780</v>
      </c>
      <c r="H13" s="75">
        <v>78811</v>
      </c>
      <c r="I13" s="82">
        <f>(H13/D13)^(1/4)-1</f>
        <v>4.419062890280312E-2</v>
      </c>
    </row>
    <row r="14" spans="2:13" x14ac:dyDescent="0.25">
      <c r="B14" s="15" t="s">
        <v>186</v>
      </c>
      <c r="C14" s="79" t="s">
        <v>10</v>
      </c>
      <c r="D14" s="75">
        <v>265082</v>
      </c>
      <c r="E14" s="75">
        <v>236433</v>
      </c>
      <c r="F14" s="75">
        <v>256768</v>
      </c>
      <c r="G14" s="75">
        <v>236726</v>
      </c>
      <c r="H14" s="75">
        <v>236844</v>
      </c>
      <c r="I14" s="83"/>
    </row>
    <row r="15" spans="2:13" x14ac:dyDescent="0.25">
      <c r="B15" s="15" t="s">
        <v>184</v>
      </c>
      <c r="C15" s="15"/>
      <c r="D15" s="84">
        <v>8.9800000000000005E-2</v>
      </c>
      <c r="E15" s="84">
        <f>+'PERDIDAS y OTROS'!E9+'PERDIDAS y OTROS'!E11</f>
        <v>9.4339089915164681E-2</v>
      </c>
      <c r="F15" s="84">
        <f>+'PERDIDAS y OTROS'!F9+'PERDIDAS y OTROS'!F11</f>
        <v>9.4328238787353635E-2</v>
      </c>
      <c r="G15" s="84">
        <f>+'PERDIDAS y OTROS'!G9+'PERDIDAS y OTROS'!G11</f>
        <v>9.4320352616335507E-2</v>
      </c>
      <c r="H15" s="84">
        <f>+'PERDIDAS y OTROS'!H9+'PERDIDAS y OTROS'!H11</f>
        <v>9.4310967847197308E-2</v>
      </c>
    </row>
    <row r="16" spans="2:13" x14ac:dyDescent="0.25">
      <c r="B16" s="15" t="s">
        <v>188</v>
      </c>
      <c r="C16" s="15"/>
      <c r="D16" s="85">
        <f>+E16</f>
        <v>1.4999999999999999E-2</v>
      </c>
      <c r="E16" s="85">
        <f>+'PERDIDAS y OTROS'!E10</f>
        <v>1.4999999999999999E-2</v>
      </c>
      <c r="F16" s="85">
        <f>+'PERDIDAS y OTROS'!F10</f>
        <v>1.4999999999999999E-2</v>
      </c>
      <c r="G16" s="85">
        <f>+'PERDIDAS y OTROS'!G10</f>
        <v>1.4999999999999999E-2</v>
      </c>
      <c r="H16" s="85">
        <f>+'PERDIDAS y OTROS'!H10</f>
        <v>1.4999999999999999E-2</v>
      </c>
    </row>
    <row r="17" spans="2:10" x14ac:dyDescent="0.25">
      <c r="B17" s="15" t="s">
        <v>185</v>
      </c>
      <c r="C17" s="15"/>
      <c r="D17" s="80">
        <v>0.7</v>
      </c>
      <c r="E17" s="80">
        <v>0.7</v>
      </c>
      <c r="F17" s="80">
        <v>0.7</v>
      </c>
      <c r="G17" s="80">
        <v>0.7</v>
      </c>
      <c r="H17" s="80">
        <v>0.7</v>
      </c>
    </row>
    <row r="18" spans="2:10" x14ac:dyDescent="0.25">
      <c r="D18" s="86"/>
      <c r="E18" s="86"/>
      <c r="F18" s="86"/>
      <c r="G18" s="86"/>
      <c r="H18" s="86"/>
    </row>
    <row r="19" spans="2:10" x14ac:dyDescent="0.25">
      <c r="B19" s="32"/>
      <c r="D19" s="86"/>
      <c r="E19" s="86"/>
      <c r="F19" s="86"/>
      <c r="G19" s="86"/>
      <c r="H19" s="86"/>
    </row>
    <row r="20" spans="2:10" x14ac:dyDescent="0.25">
      <c r="D20" s="86"/>
      <c r="E20" s="86"/>
      <c r="F20" s="86"/>
      <c r="G20" s="86"/>
      <c r="H20" s="86"/>
    </row>
    <row r="22" spans="2:10" x14ac:dyDescent="0.25">
      <c r="D22" s="87"/>
      <c r="E22" s="87"/>
      <c r="F22" s="87"/>
      <c r="G22" s="87"/>
      <c r="H22" s="87"/>
    </row>
    <row r="23" spans="2:10" x14ac:dyDescent="0.25">
      <c r="D23" s="21"/>
      <c r="E23" s="21"/>
      <c r="F23" s="21"/>
      <c r="G23" s="21"/>
      <c r="H23" s="21"/>
    </row>
    <row r="24" spans="2:10" x14ac:dyDescent="0.25">
      <c r="D24" s="21"/>
      <c r="E24" s="21"/>
      <c r="F24" s="21"/>
      <c r="G24" s="21"/>
      <c r="H24" s="21"/>
    </row>
    <row r="25" spans="2:10" x14ac:dyDescent="0.25">
      <c r="C25" s="88"/>
      <c r="D25" s="89"/>
      <c r="E25" s="89"/>
      <c r="F25" s="90"/>
      <c r="G25" s="89"/>
      <c r="H25" s="89"/>
      <c r="I25" s="40"/>
      <c r="J25" s="40"/>
    </row>
    <row r="26" spans="2:10" x14ac:dyDescent="0.25">
      <c r="C26" s="88"/>
      <c r="D26" s="91"/>
      <c r="E26" s="91"/>
      <c r="F26" s="90"/>
      <c r="G26" s="91"/>
      <c r="H26" s="91"/>
      <c r="I26" s="40"/>
      <c r="J26" s="40"/>
    </row>
    <row r="27" spans="2:10" x14ac:dyDescent="0.25">
      <c r="D27" s="91"/>
      <c r="E27" s="91"/>
      <c r="F27" s="90"/>
      <c r="G27" s="91"/>
      <c r="H27" s="91"/>
      <c r="I27" s="40"/>
      <c r="J27" s="40"/>
    </row>
    <row r="28" spans="2:10" x14ac:dyDescent="0.25">
      <c r="D28" s="21"/>
      <c r="E28" s="21"/>
      <c r="F28" s="21"/>
      <c r="G28" s="21"/>
      <c r="H28" s="21"/>
      <c r="I28" s="40"/>
      <c r="J28" s="40"/>
    </row>
    <row r="29" spans="2:10" x14ac:dyDescent="0.25">
      <c r="D29" s="92"/>
      <c r="E29" s="92"/>
      <c r="F29" s="92"/>
      <c r="G29" s="92"/>
      <c r="H29" s="92"/>
      <c r="I29" s="40"/>
      <c r="J29" s="40"/>
    </row>
    <row r="30" spans="2:10" x14ac:dyDescent="0.25">
      <c r="D30" s="21"/>
      <c r="E30" s="21"/>
      <c r="F30" s="21"/>
      <c r="G30" s="21"/>
      <c r="H30" s="21"/>
      <c r="I30" s="40"/>
      <c r="J30" s="40"/>
    </row>
    <row r="31" spans="2:10" x14ac:dyDescent="0.25">
      <c r="D31" s="40"/>
      <c r="E31" s="40"/>
      <c r="F31" s="40"/>
      <c r="G31" s="40"/>
      <c r="H31" s="40"/>
      <c r="I31" s="40"/>
      <c r="J31" s="40"/>
    </row>
    <row r="32" spans="2:10" x14ac:dyDescent="0.25">
      <c r="D32" s="40"/>
      <c r="E32" s="40"/>
      <c r="F32" s="40"/>
      <c r="G32" s="40"/>
      <c r="H32" s="40"/>
      <c r="I32" s="40"/>
      <c r="J32" s="40"/>
    </row>
    <row r="33" spans="4:10" x14ac:dyDescent="0.25">
      <c r="D33" s="40"/>
      <c r="E33" s="40"/>
      <c r="F33" s="40"/>
      <c r="G33" s="40"/>
      <c r="H33" s="40"/>
      <c r="I33" s="40"/>
      <c r="J33" s="40"/>
    </row>
    <row r="39" spans="4:10" x14ac:dyDescent="0.25">
      <c r="E39" s="297"/>
    </row>
  </sheetData>
  <sheetProtection algorithmName="SHA-512" hashValue="1jnLf+TWNdiytwKeyfx2AR6e5qZli8VgTazWWo4dhcnbdGgHWdAlBd0588kUsgvx7svTvNc3BbnGLMkzlAJ4cg==" saltValue="w7eEoGCP5I/IDBJehlgSEw==" spinCount="100000" sheet="1" objects="1" scenarios="1"/>
  <phoneticPr fontId="0" type="noConversion"/>
  <pageMargins left="0.74803149606299213" right="0.74803149606299213" top="0.51181102362204722" bottom="0.51181102362204722" header="0.39370078740157483" footer="0"/>
  <pageSetup scale="83" orientation="landscape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Q99"/>
  <sheetViews>
    <sheetView showGridLines="0" zoomScaleNormal="100" workbookViewId="0"/>
  </sheetViews>
  <sheetFormatPr baseColWidth="10" defaultColWidth="11.42578125" defaultRowHeight="15" x14ac:dyDescent="0.2"/>
  <cols>
    <col min="1" max="1" width="20.5703125" style="95" customWidth="1"/>
    <col min="2" max="2" width="16.7109375" style="95"/>
    <col min="3" max="7" width="16" style="95" customWidth="1"/>
    <col min="8" max="16384" width="11.42578125" style="95"/>
  </cols>
  <sheetData>
    <row r="1" spans="1:13" x14ac:dyDescent="0.2">
      <c r="A1" s="94" t="s">
        <v>106</v>
      </c>
    </row>
    <row r="2" spans="1:13" x14ac:dyDescent="0.2">
      <c r="A2" s="94"/>
    </row>
    <row r="3" spans="1:13" x14ac:dyDescent="0.2">
      <c r="A3" s="94" t="s">
        <v>107</v>
      </c>
      <c r="G3" s="96"/>
    </row>
    <row r="4" spans="1:13" s="98" customFormat="1" x14ac:dyDescent="0.25">
      <c r="A4" s="97" t="s">
        <v>108</v>
      </c>
      <c r="B4" s="98" t="s">
        <v>24</v>
      </c>
      <c r="C4" s="98" t="s">
        <v>25</v>
      </c>
      <c r="D4" s="98" t="s">
        <v>28</v>
      </c>
      <c r="E4" s="98" t="s">
        <v>21</v>
      </c>
      <c r="F4" s="98" t="s">
        <v>26</v>
      </c>
      <c r="G4" s="99"/>
      <c r="I4" s="100"/>
      <c r="J4" s="100"/>
      <c r="K4" s="100"/>
      <c r="L4" s="100"/>
      <c r="M4" s="100"/>
    </row>
    <row r="5" spans="1:13" x14ac:dyDescent="0.25">
      <c r="A5" s="101" t="s">
        <v>109</v>
      </c>
      <c r="B5" s="102">
        <v>0.994336</v>
      </c>
      <c r="C5" s="102"/>
      <c r="D5" s="102">
        <v>0.90142100000000003</v>
      </c>
      <c r="E5" s="102"/>
      <c r="F5" s="102"/>
      <c r="G5" s="103"/>
      <c r="I5" s="100"/>
      <c r="J5" s="100"/>
      <c r="K5" s="100"/>
      <c r="L5" s="100"/>
      <c r="M5" s="100"/>
    </row>
    <row r="6" spans="1:13" x14ac:dyDescent="0.25">
      <c r="A6" s="101" t="s">
        <v>155</v>
      </c>
      <c r="B6" s="102"/>
      <c r="C6" s="102">
        <v>0.98074600000000001</v>
      </c>
      <c r="D6" s="102"/>
      <c r="E6" s="102">
        <v>1.0040389999999999</v>
      </c>
      <c r="F6" s="102">
        <v>0.87096899999999999</v>
      </c>
      <c r="G6" s="103"/>
      <c r="I6" s="100"/>
      <c r="J6" s="100"/>
      <c r="K6" s="100"/>
      <c r="L6" s="100"/>
      <c r="M6" s="100"/>
    </row>
    <row r="7" spans="1:13" x14ac:dyDescent="0.25">
      <c r="A7" s="101" t="s">
        <v>156</v>
      </c>
      <c r="B7" s="102">
        <v>-0.83731299999999997</v>
      </c>
      <c r="C7" s="102"/>
      <c r="D7" s="102">
        <v>-0.84747600000000001</v>
      </c>
      <c r="E7" s="102"/>
      <c r="F7" s="102"/>
      <c r="G7" s="103"/>
      <c r="I7" s="100"/>
      <c r="J7" s="100"/>
      <c r="K7" s="100"/>
      <c r="L7" s="100"/>
      <c r="M7" s="100"/>
    </row>
    <row r="8" spans="1:13" x14ac:dyDescent="0.25">
      <c r="A8" s="101" t="s">
        <v>157</v>
      </c>
      <c r="B8" s="102"/>
      <c r="C8" s="102"/>
      <c r="D8" s="102"/>
      <c r="E8" s="102"/>
      <c r="F8" s="102"/>
      <c r="G8" s="103"/>
      <c r="I8" s="100"/>
      <c r="J8" s="100"/>
      <c r="K8" s="100"/>
      <c r="L8" s="100"/>
      <c r="M8" s="100"/>
    </row>
    <row r="9" spans="1:13" x14ac:dyDescent="0.25">
      <c r="A9" s="101" t="s">
        <v>158</v>
      </c>
      <c r="B9" s="102"/>
      <c r="C9" s="102"/>
      <c r="D9" s="102"/>
      <c r="E9" s="102"/>
      <c r="F9" s="102"/>
      <c r="G9" s="103"/>
      <c r="I9" s="100"/>
      <c r="J9" s="100"/>
      <c r="K9" s="100"/>
      <c r="L9" s="100"/>
      <c r="M9" s="100"/>
    </row>
    <row r="10" spans="1:13" x14ac:dyDescent="0.25">
      <c r="A10" s="101" t="s">
        <v>27</v>
      </c>
      <c r="B10" s="102">
        <v>9.3116339999999997</v>
      </c>
      <c r="C10" s="102">
        <v>5.5468419999999998</v>
      </c>
      <c r="D10" s="102">
        <v>6.1940470000000003</v>
      </c>
      <c r="E10" s="102">
        <v>4.5432420000000002</v>
      </c>
      <c r="F10" s="102">
        <v>5.9060639999999998</v>
      </c>
      <c r="G10" s="103"/>
      <c r="I10" s="100"/>
      <c r="J10" s="100"/>
      <c r="K10" s="100"/>
      <c r="L10" s="100"/>
      <c r="M10" s="100"/>
    </row>
    <row r="11" spans="1:13" x14ac:dyDescent="0.25">
      <c r="G11" s="96"/>
      <c r="I11" s="100"/>
      <c r="J11" s="100"/>
      <c r="K11" s="100"/>
      <c r="L11" s="100"/>
      <c r="M11" s="100"/>
    </row>
    <row r="12" spans="1:13" x14ac:dyDescent="0.2">
      <c r="D12" s="104"/>
      <c r="G12" s="96"/>
    </row>
    <row r="13" spans="1:13" x14ac:dyDescent="0.2">
      <c r="A13" s="94" t="s">
        <v>110</v>
      </c>
    </row>
    <row r="14" spans="1:13" ht="6" customHeight="1" x14ac:dyDescent="0.2">
      <c r="A14" s="94"/>
    </row>
    <row r="15" spans="1:13" x14ac:dyDescent="0.2">
      <c r="A15" s="105" t="s">
        <v>105</v>
      </c>
      <c r="C15" s="106"/>
      <c r="D15" s="106"/>
      <c r="E15" s="106"/>
      <c r="F15" s="106"/>
      <c r="G15" s="106"/>
      <c r="H15" s="106"/>
    </row>
    <row r="16" spans="1:13" x14ac:dyDescent="0.2">
      <c r="A16" s="309" t="s">
        <v>111</v>
      </c>
      <c r="B16" s="309" t="s">
        <v>112</v>
      </c>
      <c r="C16" s="98" t="s">
        <v>113</v>
      </c>
      <c r="D16" s="310" t="s">
        <v>114</v>
      </c>
      <c r="E16" s="310"/>
      <c r="F16" s="310"/>
      <c r="G16" s="310"/>
      <c r="H16" s="310"/>
    </row>
    <row r="17" spans="1:10" x14ac:dyDescent="0.2">
      <c r="A17" s="309"/>
      <c r="B17" s="309"/>
      <c r="C17" s="107" t="s">
        <v>115</v>
      </c>
      <c r="D17" s="107" t="s">
        <v>116</v>
      </c>
      <c r="E17" s="107" t="s">
        <v>159</v>
      </c>
      <c r="F17" s="107" t="s">
        <v>160</v>
      </c>
      <c r="G17" s="107" t="s">
        <v>161</v>
      </c>
      <c r="H17" s="107" t="s">
        <v>162</v>
      </c>
    </row>
    <row r="18" spans="1:10" x14ac:dyDescent="0.2">
      <c r="A18" s="108" t="s">
        <v>117</v>
      </c>
      <c r="B18" s="95" t="s">
        <v>71</v>
      </c>
      <c r="C18" s="109"/>
      <c r="D18" s="110">
        <f>+DEMANDA!D6</f>
        <v>691.549070512252</v>
      </c>
      <c r="E18" s="110">
        <f>+DEMANDA!E6</f>
        <v>710.65473495802257</v>
      </c>
      <c r="F18" s="110">
        <f>+DEMANDA!F6</f>
        <v>735.15245510404156</v>
      </c>
      <c r="G18" s="110">
        <f>+DEMANDA!G6</f>
        <v>753.48694419884225</v>
      </c>
      <c r="H18" s="110">
        <f>+DEMANDA!H6</f>
        <v>775.90486169627786</v>
      </c>
    </row>
    <row r="19" spans="1:10" x14ac:dyDescent="0.2">
      <c r="A19" s="108" t="s">
        <v>118</v>
      </c>
      <c r="B19" s="95" t="s">
        <v>10</v>
      </c>
      <c r="C19" s="111"/>
      <c r="D19" s="111">
        <v>4240578.9003811292</v>
      </c>
      <c r="E19" s="111">
        <v>4357734.8343061367</v>
      </c>
      <c r="F19" s="111">
        <v>4507954.8542300425</v>
      </c>
      <c r="G19" s="111">
        <v>4620381.9413388735</v>
      </c>
      <c r="H19" s="111">
        <v>4757848.6114164013</v>
      </c>
    </row>
    <row r="20" spans="1:10" x14ac:dyDescent="0.2">
      <c r="A20" s="108" t="s">
        <v>4</v>
      </c>
      <c r="B20" s="95" t="s">
        <v>119</v>
      </c>
      <c r="C20" s="112"/>
      <c r="D20" s="113">
        <f>+DEMANDA!D8</f>
        <v>449481</v>
      </c>
      <c r="E20" s="113">
        <f>+DEMANDA!E8</f>
        <v>463864.39199999999</v>
      </c>
      <c r="F20" s="113">
        <f>+DEMANDA!F8</f>
        <v>478708.05254399998</v>
      </c>
      <c r="G20" s="113">
        <f>+DEMANDA!G8</f>
        <v>494026.71022540797</v>
      </c>
      <c r="H20" s="113">
        <f>+DEMANDA!H8</f>
        <v>509835.56495262106</v>
      </c>
    </row>
    <row r="23" spans="1:10" x14ac:dyDescent="0.2">
      <c r="A23" s="94" t="s">
        <v>120</v>
      </c>
    </row>
    <row r="24" spans="1:10" ht="6" customHeight="1" x14ac:dyDescent="0.2">
      <c r="A24" s="94"/>
    </row>
    <row r="25" spans="1:10" x14ac:dyDescent="0.2">
      <c r="A25" s="105" t="s">
        <v>105</v>
      </c>
      <c r="C25" s="106"/>
      <c r="D25" s="106"/>
      <c r="E25" s="106"/>
      <c r="F25" s="106"/>
      <c r="G25" s="106"/>
      <c r="H25" s="106"/>
    </row>
    <row r="26" spans="1:10" x14ac:dyDescent="0.2">
      <c r="A26" s="114" t="s">
        <v>271</v>
      </c>
      <c r="C26" s="106"/>
      <c r="D26" s="106"/>
      <c r="E26" s="106"/>
      <c r="F26" s="106"/>
      <c r="G26" s="106"/>
      <c r="H26" s="106"/>
    </row>
    <row r="27" spans="1:10" x14ac:dyDescent="0.25">
      <c r="A27" s="106" t="s">
        <v>121</v>
      </c>
      <c r="B27" s="107"/>
      <c r="C27" s="107" t="s">
        <v>116</v>
      </c>
      <c r="D27" s="107" t="s">
        <v>159</v>
      </c>
      <c r="E27" s="107" t="s">
        <v>160</v>
      </c>
      <c r="F27" s="107" t="s">
        <v>161</v>
      </c>
      <c r="G27" s="107" t="s">
        <v>162</v>
      </c>
      <c r="I27" s="100"/>
      <c r="J27" s="100"/>
    </row>
    <row r="28" spans="1:10" x14ac:dyDescent="0.25">
      <c r="A28" s="115" t="s">
        <v>24</v>
      </c>
      <c r="B28" s="116"/>
      <c r="C28" s="116">
        <f>EXP($B$10+$B$5*LN(D18)+$B$7*LN(D18/D20))</f>
        <v>1671080917.1611044</v>
      </c>
      <c r="D28" s="116">
        <f t="shared" ref="D28:E28" si="0">EXP($B$10+$B$5*LN(E18)+$B$7*LN(E18/E20))</f>
        <v>1723098632.6557786</v>
      </c>
      <c r="E28" s="116">
        <f t="shared" si="0"/>
        <v>1778588621.9628687</v>
      </c>
      <c r="F28" s="116">
        <f t="shared" ref="F28:G28" si="1">EXP($B$10+$B$5*LN(G18)+$B$7*LN(G18/G20))</f>
        <v>1833198867.7528157</v>
      </c>
      <c r="G28" s="116">
        <f t="shared" si="1"/>
        <v>1890876228.1269464</v>
      </c>
      <c r="I28" s="100"/>
      <c r="J28" s="100"/>
    </row>
    <row r="29" spans="1:10" x14ac:dyDescent="0.25">
      <c r="A29" s="115" t="s">
        <v>25</v>
      </c>
      <c r="B29" s="116"/>
      <c r="C29" s="116">
        <f t="shared" ref="C29" si="2">EXP($C$10+$C$6*LN(D20))</f>
        <v>89709184.115697354</v>
      </c>
      <c r="D29" s="116">
        <f t="shared" ref="D29" si="3">EXP($C$10+$C$6*LN(E20))</f>
        <v>92523747.617387772</v>
      </c>
      <c r="E29" s="116">
        <f t="shared" ref="E29" si="4">EXP($C$10+$C$6*LN(F20))</f>
        <v>95426616.099032432</v>
      </c>
      <c r="F29" s="116">
        <f t="shared" ref="F29" si="5">EXP($C$10+$C$6*LN(G20))</f>
        <v>98420560.068200618</v>
      </c>
      <c r="G29" s="116">
        <f t="shared" ref="G29" si="6">EXP($C$10+$C$6*LN(H20))</f>
        <v>101508436.95521656</v>
      </c>
      <c r="I29" s="100"/>
      <c r="J29" s="100"/>
    </row>
    <row r="30" spans="1:10" x14ac:dyDescent="0.25">
      <c r="A30" s="115" t="s">
        <v>28</v>
      </c>
      <c r="B30" s="116"/>
      <c r="C30" s="116">
        <f t="shared" ref="C30" si="7">EXP($D$10+$D$5*LN(D18)+$D$7*LN(D18/D20))</f>
        <v>43030052.783395343</v>
      </c>
      <c r="D30" s="116">
        <f t="shared" ref="D30" si="8">EXP($D$10+$D$5*LN(E18)+$D$7*LN(E18/E20))</f>
        <v>44259200.872933842</v>
      </c>
      <c r="E30" s="116">
        <f t="shared" ref="E30" si="9">EXP($D$10+$D$5*LN(F18)+$D$7*LN(F18/F20))</f>
        <v>45539765.163817421</v>
      </c>
      <c r="F30" s="116">
        <f t="shared" ref="F30" si="10">EXP($D$10+$D$5*LN(G18)+$D$7*LN(G18/G20))</f>
        <v>46833986.103621207</v>
      </c>
      <c r="G30" s="116">
        <f t="shared" ref="G30" si="11">EXP($D$10+$D$5*LN(H18)+$D$7*LN(H18/H20))</f>
        <v>48177161.161885574</v>
      </c>
      <c r="I30" s="100"/>
      <c r="J30" s="100"/>
    </row>
    <row r="31" spans="1:10" x14ac:dyDescent="0.25">
      <c r="A31" s="115" t="s">
        <v>21</v>
      </c>
      <c r="B31" s="116"/>
      <c r="C31" s="116">
        <f>EXP($E$10+$E$6*LN(D20))</f>
        <v>44529474.507753313</v>
      </c>
      <c r="D31" s="116">
        <f t="shared" ref="D31:E31" si="12">EXP($E$10+$E$6*LN(E20))</f>
        <v>45960264.528144173</v>
      </c>
      <c r="E31" s="116">
        <f t="shared" si="12"/>
        <v>47437027.69564911</v>
      </c>
      <c r="F31" s="116">
        <f t="shared" ref="F31:G31" si="13">EXP($E$10+$E$6*LN(G20))</f>
        <v>48961241.187369563</v>
      </c>
      <c r="G31" s="116">
        <f t="shared" si="13"/>
        <v>50534429.644032098</v>
      </c>
      <c r="I31" s="100"/>
      <c r="J31" s="100"/>
    </row>
    <row r="32" spans="1:10" s="119" customFormat="1" x14ac:dyDescent="0.25">
      <c r="A32" s="117" t="s">
        <v>26</v>
      </c>
      <c r="B32" s="118"/>
      <c r="C32" s="118">
        <f>EXP($F$10+$F$6*LN(D20))</f>
        <v>30782745.138822854</v>
      </c>
      <c r="D32" s="118">
        <f t="shared" ref="D32:E32" si="14">EXP($F$10+$F$6*LN(E20))</f>
        <v>31638941.023163605</v>
      </c>
      <c r="E32" s="118">
        <f t="shared" si="14"/>
        <v>32518951.268083945</v>
      </c>
      <c r="F32" s="118">
        <f t="shared" ref="F32:G32" si="15">EXP($F$10+$F$6*LN(G20))</f>
        <v>33423438.249776043</v>
      </c>
      <c r="G32" s="118">
        <f t="shared" si="15"/>
        <v>34353082.767863028</v>
      </c>
      <c r="I32" s="100"/>
      <c r="J32" s="100"/>
    </row>
    <row r="33" spans="1:10" s="119" customFormat="1" x14ac:dyDescent="0.2">
      <c r="A33" s="117"/>
      <c r="B33" s="118"/>
      <c r="C33" s="118"/>
      <c r="D33" s="118"/>
      <c r="E33" s="118"/>
      <c r="F33" s="118"/>
      <c r="G33" s="118"/>
      <c r="I33" s="120"/>
      <c r="J33" s="121"/>
    </row>
    <row r="34" spans="1:10" s="119" customFormat="1" x14ac:dyDescent="0.2">
      <c r="A34" s="122"/>
      <c r="B34" s="123"/>
      <c r="C34" s="123"/>
      <c r="D34" s="123"/>
      <c r="E34" s="123"/>
      <c r="F34" s="123"/>
      <c r="G34" s="123"/>
      <c r="I34" s="120"/>
      <c r="J34" s="121"/>
    </row>
    <row r="35" spans="1:10" x14ac:dyDescent="0.2">
      <c r="A35" s="115"/>
    </row>
    <row r="36" spans="1:10" x14ac:dyDescent="0.2">
      <c r="A36" s="114" t="s">
        <v>122</v>
      </c>
    </row>
    <row r="37" spans="1:10" x14ac:dyDescent="0.2">
      <c r="A37" s="124" t="s">
        <v>123</v>
      </c>
    </row>
    <row r="38" spans="1:10" s="128" customFormat="1" x14ac:dyDescent="0.2">
      <c r="A38" s="125" t="s">
        <v>124</v>
      </c>
      <c r="B38" s="126">
        <v>0.32063664466362535</v>
      </c>
      <c r="C38" s="127"/>
    </row>
    <row r="39" spans="1:10" s="128" customFormat="1" x14ac:dyDescent="0.25">
      <c r="A39" s="129" t="s">
        <v>125</v>
      </c>
      <c r="B39" s="130"/>
      <c r="C39" s="284" t="s">
        <v>267</v>
      </c>
      <c r="D39" s="285" t="s">
        <v>268</v>
      </c>
      <c r="E39" s="298"/>
      <c r="F39" s="130"/>
      <c r="G39" s="131"/>
      <c r="H39" s="131"/>
    </row>
    <row r="40" spans="1:10" s="128" customFormat="1" x14ac:dyDescent="0.25">
      <c r="A40" s="132" t="s">
        <v>24</v>
      </c>
      <c r="B40" s="133">
        <v>0.58899999999999997</v>
      </c>
      <c r="C40" s="286">
        <v>0.63009999999999999</v>
      </c>
      <c r="D40" s="287">
        <f>+C40*105.5/104.1+(1-C40)</f>
        <v>1.008473967339097</v>
      </c>
      <c r="E40" s="134"/>
      <c r="F40" s="134"/>
      <c r="G40" s="131"/>
      <c r="H40" s="131"/>
    </row>
    <row r="41" spans="1:10" s="128" customFormat="1" x14ac:dyDescent="0.25">
      <c r="A41" s="132" t="s">
        <v>25</v>
      </c>
      <c r="B41" s="133">
        <v>0.371</v>
      </c>
      <c r="C41" s="286">
        <v>0.43390000000000001</v>
      </c>
      <c r="D41" s="287">
        <f t="shared" ref="D41:D44" si="16">+C41*105.5/104.1+(1-C41)</f>
        <v>1.0058353506243998</v>
      </c>
      <c r="E41" s="126"/>
      <c r="F41" s="126"/>
      <c r="G41" s="131"/>
      <c r="H41" s="131"/>
    </row>
    <row r="42" spans="1:10" s="128" customFormat="1" x14ac:dyDescent="0.25">
      <c r="A42" s="132" t="s">
        <v>28</v>
      </c>
      <c r="B42" s="133">
        <v>0.47799999999999998</v>
      </c>
      <c r="C42" s="286">
        <v>0.5302</v>
      </c>
      <c r="D42" s="287">
        <f t="shared" si="16"/>
        <v>1.007130451488953</v>
      </c>
      <c r="E42" s="135"/>
      <c r="F42" s="131"/>
      <c r="G42" s="131"/>
      <c r="H42" s="131"/>
    </row>
    <row r="43" spans="1:10" s="128" customFormat="1" x14ac:dyDescent="0.25">
      <c r="A43" s="132" t="s">
        <v>21</v>
      </c>
      <c r="B43" s="133">
        <v>0.28499999999999998</v>
      </c>
      <c r="C43" s="286">
        <v>0.39229999999999998</v>
      </c>
      <c r="D43" s="287">
        <f t="shared" si="16"/>
        <v>1.0052758885686841</v>
      </c>
      <c r="E43" s="136"/>
      <c r="F43" s="136"/>
      <c r="G43" s="131"/>
      <c r="H43" s="131"/>
    </row>
    <row r="44" spans="1:10" s="128" customFormat="1" x14ac:dyDescent="0.25">
      <c r="A44" s="132" t="s">
        <v>26</v>
      </c>
      <c r="B44" s="133">
        <v>0.57699999999999996</v>
      </c>
      <c r="C44" s="286">
        <v>0.68279999999999996</v>
      </c>
      <c r="D44" s="287">
        <f t="shared" si="16"/>
        <v>1.0091827089337175</v>
      </c>
      <c r="E44" s="134"/>
      <c r="F44" s="136"/>
      <c r="G44" s="131"/>
      <c r="H44" s="131"/>
    </row>
    <row r="45" spans="1:10" s="128" customFormat="1" x14ac:dyDescent="0.25">
      <c r="A45" s="137"/>
      <c r="C45" s="136"/>
      <c r="D45" s="136"/>
      <c r="E45" s="136"/>
      <c r="F45" s="131"/>
      <c r="G45" s="131"/>
      <c r="H45" s="131"/>
    </row>
    <row r="46" spans="1:10" s="128" customFormat="1" x14ac:dyDescent="0.25">
      <c r="A46" s="124" t="s">
        <v>126</v>
      </c>
      <c r="C46" s="136"/>
      <c r="D46" s="136"/>
      <c r="E46" s="136"/>
      <c r="F46" s="131"/>
      <c r="G46" s="131"/>
      <c r="H46" s="131"/>
    </row>
    <row r="47" spans="1:10" s="128" customFormat="1" x14ac:dyDescent="0.25">
      <c r="A47" s="124"/>
      <c r="B47" s="106">
        <v>2017</v>
      </c>
      <c r="C47" s="106">
        <v>2018</v>
      </c>
      <c r="D47" s="106">
        <v>2019</v>
      </c>
      <c r="E47" s="106">
        <v>2020</v>
      </c>
      <c r="F47" s="106">
        <v>2021</v>
      </c>
      <c r="G47" s="106">
        <v>2022</v>
      </c>
      <c r="H47" s="131"/>
    </row>
    <row r="48" spans="1:10" s="128" customFormat="1" x14ac:dyDescent="0.25">
      <c r="A48" s="138" t="s">
        <v>127</v>
      </c>
      <c r="B48" s="139">
        <v>0.59</v>
      </c>
      <c r="C48" s="139">
        <v>0.59</v>
      </c>
      <c r="D48" s="139">
        <v>0.59</v>
      </c>
      <c r="E48" s="139">
        <v>0.59</v>
      </c>
      <c r="F48" s="139">
        <v>0.59</v>
      </c>
      <c r="G48" s="139">
        <v>0.59</v>
      </c>
      <c r="H48" s="127"/>
    </row>
    <row r="49" spans="1:17" s="128" customFormat="1" ht="15" customHeight="1" x14ac:dyDescent="0.25">
      <c r="A49" s="140" t="s">
        <v>128</v>
      </c>
      <c r="C49" s="136"/>
      <c r="D49" s="136"/>
      <c r="E49" s="136"/>
      <c r="F49" s="131"/>
      <c r="G49" s="131"/>
      <c r="H49" s="131"/>
    </row>
    <row r="50" spans="1:17" s="128" customFormat="1" x14ac:dyDescent="0.25">
      <c r="A50" s="132" t="s">
        <v>24</v>
      </c>
      <c r="B50" s="133">
        <v>0.1</v>
      </c>
      <c r="C50" s="127"/>
      <c r="D50" s="131"/>
      <c r="E50" s="135"/>
      <c r="F50" s="131"/>
      <c r="G50" s="131"/>
      <c r="H50" s="131"/>
    </row>
    <row r="51" spans="1:17" s="128" customFormat="1" x14ac:dyDescent="0.25">
      <c r="A51" s="132" t="s">
        <v>25</v>
      </c>
      <c r="B51" s="133">
        <v>0.1</v>
      </c>
      <c r="C51" s="131"/>
      <c r="D51" s="131"/>
      <c r="E51" s="135"/>
      <c r="F51" s="131"/>
      <c r="G51" s="131"/>
      <c r="H51" s="131"/>
    </row>
    <row r="52" spans="1:17" s="128" customFormat="1" x14ac:dyDescent="0.25">
      <c r="A52" s="132" t="s">
        <v>28</v>
      </c>
      <c r="B52" s="133">
        <v>0.1</v>
      </c>
      <c r="C52" s="131"/>
      <c r="D52" s="131"/>
      <c r="E52" s="135"/>
      <c r="F52" s="131"/>
      <c r="G52" s="131"/>
      <c r="H52" s="131"/>
    </row>
    <row r="53" spans="1:17" s="128" customFormat="1" x14ac:dyDescent="0.25">
      <c r="A53" s="132" t="s">
        <v>21</v>
      </c>
      <c r="B53" s="133">
        <v>0.15</v>
      </c>
      <c r="C53" s="131"/>
      <c r="D53" s="131"/>
      <c r="E53" s="135"/>
      <c r="F53" s="131"/>
      <c r="G53" s="131"/>
      <c r="H53" s="131"/>
    </row>
    <row r="54" spans="1:17" s="128" customFormat="1" x14ac:dyDescent="0.25">
      <c r="A54" s="132" t="s">
        <v>26</v>
      </c>
      <c r="B54" s="133">
        <v>0.25</v>
      </c>
      <c r="C54" s="131"/>
      <c r="D54" s="141"/>
      <c r="E54" s="141"/>
      <c r="F54" s="142"/>
      <c r="G54" s="142"/>
      <c r="H54" s="131"/>
    </row>
    <row r="55" spans="1:17" s="128" customFormat="1" x14ac:dyDescent="0.25">
      <c r="A55" s="131"/>
      <c r="B55" s="126"/>
      <c r="C55" s="131"/>
      <c r="D55" s="131"/>
      <c r="E55" s="135"/>
      <c r="F55" s="131"/>
      <c r="G55" s="131"/>
      <c r="H55" s="131"/>
    </row>
    <row r="56" spans="1:17" s="128" customFormat="1" x14ac:dyDescent="0.25">
      <c r="A56" s="114" t="s">
        <v>163</v>
      </c>
      <c r="B56" s="95"/>
      <c r="C56" s="106"/>
      <c r="D56" s="106"/>
      <c r="E56" s="106"/>
      <c r="F56" s="106"/>
      <c r="G56" s="106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s="128" customFormat="1" x14ac:dyDescent="0.25">
      <c r="A57" s="106" t="s">
        <v>121</v>
      </c>
      <c r="B57" s="107"/>
      <c r="C57" s="107" t="s">
        <v>116</v>
      </c>
      <c r="D57" s="107" t="s">
        <v>159</v>
      </c>
      <c r="E57" s="107" t="s">
        <v>160</v>
      </c>
      <c r="F57" s="107" t="s">
        <v>161</v>
      </c>
      <c r="G57" s="107" t="s">
        <v>162</v>
      </c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s="128" customFormat="1" x14ac:dyDescent="0.25">
      <c r="A58" s="115" t="s">
        <v>24</v>
      </c>
      <c r="B58" s="116"/>
      <c r="C58" s="116">
        <f>C28*($B40*$B$38+C$48*(1-$B40)*$B50+(1-$B40)*(1-$B50))*$D40</f>
        <v>982502567.63436723</v>
      </c>
      <c r="D58" s="116">
        <f t="shared" ref="D58:G58" si="17">D28*($B40*$B$38+D$48*(1-$B40)*$B50+(1-$B40)*(1-$B50))*$D40</f>
        <v>1013086089.0612139</v>
      </c>
      <c r="E58" s="116">
        <f t="shared" si="17"/>
        <v>1045711114.2244709</v>
      </c>
      <c r="F58" s="116">
        <f t="shared" si="17"/>
        <v>1077818899.1657994</v>
      </c>
      <c r="G58" s="116">
        <f t="shared" si="17"/>
        <v>1111729976.7683289</v>
      </c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s="128" customFormat="1" x14ac:dyDescent="0.25">
      <c r="A59" s="115" t="s">
        <v>25</v>
      </c>
      <c r="B59" s="116"/>
      <c r="C59" s="116">
        <f t="shared" ref="C59:G62" si="18">C29*($B41*$B$38+C$48*(1-$B41)*$B51+(1-$B41)*(1-$B51))*$D41</f>
        <v>65163073.238366745</v>
      </c>
      <c r="D59" s="116">
        <f t="shared" si="18"/>
        <v>67207519.516666964</v>
      </c>
      <c r="E59" s="116">
        <f t="shared" si="18"/>
        <v>69316108.880569771</v>
      </c>
      <c r="F59" s="116">
        <f t="shared" si="18"/>
        <v>71490853.774948269</v>
      </c>
      <c r="G59" s="116">
        <f t="shared" si="18"/>
        <v>73733829.783738777</v>
      </c>
      <c r="I59" s="100"/>
      <c r="J59" s="100"/>
      <c r="K59" s="100"/>
      <c r="L59" s="100"/>
      <c r="M59" s="100"/>
      <c r="N59" s="100"/>
      <c r="O59" s="100"/>
      <c r="P59" s="100"/>
      <c r="Q59" s="100"/>
    </row>
    <row r="60" spans="1:17" s="128" customFormat="1" x14ac:dyDescent="0.25">
      <c r="A60" s="115" t="s">
        <v>28</v>
      </c>
      <c r="B60" s="116"/>
      <c r="C60" s="116">
        <f t="shared" si="18"/>
        <v>28336350.43468086</v>
      </c>
      <c r="D60" s="116">
        <f t="shared" si="18"/>
        <v>29145774.749742858</v>
      </c>
      <c r="E60" s="116">
        <f t="shared" si="18"/>
        <v>29989057.900783241</v>
      </c>
      <c r="F60" s="116">
        <f t="shared" si="18"/>
        <v>30841334.291769538</v>
      </c>
      <c r="G60" s="116">
        <f t="shared" si="18"/>
        <v>31725848.176465236</v>
      </c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s="128" customFormat="1" x14ac:dyDescent="0.25">
      <c r="A61" s="115" t="s">
        <v>21</v>
      </c>
      <c r="B61" s="116"/>
      <c r="C61" s="116">
        <f t="shared" si="18"/>
        <v>34128784.298150852</v>
      </c>
      <c r="D61" s="116">
        <f t="shared" si="18"/>
        <v>35225386.594083272</v>
      </c>
      <c r="E61" s="116">
        <f t="shared" si="18"/>
        <v>36357224.150227234</v>
      </c>
      <c r="F61" s="116">
        <f t="shared" si="18"/>
        <v>37525429.121390797</v>
      </c>
      <c r="G61" s="116">
        <f t="shared" si="18"/>
        <v>38731170.039991312</v>
      </c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s="128" customFormat="1" x14ac:dyDescent="0.25">
      <c r="A62" s="117" t="s">
        <v>26</v>
      </c>
      <c r="B62" s="118"/>
      <c r="C62" s="116">
        <f t="shared" si="18"/>
        <v>17541081.240048703</v>
      </c>
      <c r="D62" s="116">
        <f t="shared" si="18"/>
        <v>18028971.501196183</v>
      </c>
      <c r="E62" s="116">
        <f t="shared" si="18"/>
        <v>18530432.015149981</v>
      </c>
      <c r="F62" s="116">
        <f t="shared" si="18"/>
        <v>19045840.226954259</v>
      </c>
      <c r="G62" s="116">
        <f t="shared" si="18"/>
        <v>19575584.079966363</v>
      </c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s="128" customFormat="1" x14ac:dyDescent="0.25">
      <c r="A63" s="117"/>
      <c r="B63" s="143"/>
      <c r="C63" s="143"/>
      <c r="D63" s="144"/>
      <c r="E63" s="144"/>
      <c r="F63" s="144"/>
      <c r="G63" s="144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 s="128" customFormat="1" x14ac:dyDescent="0.25">
      <c r="A64" s="122"/>
      <c r="B64" s="123"/>
      <c r="C64" s="123"/>
      <c r="D64" s="123"/>
      <c r="E64" s="123"/>
      <c r="F64" s="123"/>
      <c r="G64" s="123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s="128" customFormat="1" x14ac:dyDescent="0.25">
      <c r="B65" s="123"/>
      <c r="C65" s="123"/>
      <c r="D65" s="123"/>
      <c r="E65" s="123"/>
      <c r="F65" s="123"/>
      <c r="G65" s="123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s="128" customFormat="1" x14ac:dyDescent="0.25">
      <c r="A66" s="145" t="s">
        <v>129</v>
      </c>
      <c r="B66" s="146"/>
      <c r="C66" s="146">
        <f t="shared" ref="C66:G66" si="19">SUM(C58:C59)</f>
        <v>1047665640.872734</v>
      </c>
      <c r="D66" s="146">
        <f t="shared" si="19"/>
        <v>1080293608.5778809</v>
      </c>
      <c r="E66" s="146">
        <f t="shared" si="19"/>
        <v>1115027223.1050406</v>
      </c>
      <c r="F66" s="146">
        <f t="shared" si="19"/>
        <v>1149309752.9407477</v>
      </c>
      <c r="G66" s="146">
        <f t="shared" si="19"/>
        <v>1185463806.5520678</v>
      </c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s="128" customFormat="1" x14ac:dyDescent="0.25">
      <c r="A67" s="145" t="s">
        <v>130</v>
      </c>
      <c r="B67" s="146"/>
      <c r="C67" s="146">
        <f t="shared" ref="C67:G67" si="20">SUM(C60:C62)</f>
        <v>80006215.972880423</v>
      </c>
      <c r="D67" s="146">
        <f>SUM(D60:D62)</f>
        <v>82400132.845022321</v>
      </c>
      <c r="E67" s="146">
        <f t="shared" si="20"/>
        <v>84876714.066160455</v>
      </c>
      <c r="F67" s="146">
        <f t="shared" si="20"/>
        <v>87412603.640114605</v>
      </c>
      <c r="G67" s="146">
        <f t="shared" si="20"/>
        <v>90032602.296422914</v>
      </c>
      <c r="I67" s="100"/>
      <c r="J67" s="100"/>
      <c r="K67" s="100"/>
      <c r="L67" s="100"/>
      <c r="M67" s="100"/>
      <c r="N67" s="100"/>
      <c r="O67" s="100"/>
      <c r="P67" s="100"/>
      <c r="Q67" s="100"/>
    </row>
    <row r="68" spans="1:17" s="128" customFormat="1" x14ac:dyDescent="0.25">
      <c r="A68" s="147" t="s">
        <v>131</v>
      </c>
      <c r="B68" s="146"/>
      <c r="C68" s="146">
        <f t="shared" ref="C68:G68" si="21">C66+C67</f>
        <v>1127671856.8456144</v>
      </c>
      <c r="D68" s="146">
        <f t="shared" si="21"/>
        <v>1162693741.4229031</v>
      </c>
      <c r="E68" s="146">
        <f t="shared" si="21"/>
        <v>1199903937.171201</v>
      </c>
      <c r="F68" s="146">
        <f t="shared" si="21"/>
        <v>1236722356.5808623</v>
      </c>
      <c r="G68" s="146">
        <f t="shared" si="21"/>
        <v>1275496408.8484907</v>
      </c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s="128" customFormat="1" x14ac:dyDescent="0.25">
      <c r="I69" s="100"/>
      <c r="J69" s="100"/>
      <c r="K69" s="100"/>
      <c r="L69" s="100"/>
      <c r="M69" s="100"/>
      <c r="N69" s="100"/>
      <c r="O69" s="100"/>
      <c r="P69" s="100"/>
      <c r="Q69" s="100"/>
    </row>
    <row r="70" spans="1:17" s="128" customFormat="1" x14ac:dyDescent="0.25">
      <c r="A70" s="148" t="s">
        <v>18</v>
      </c>
      <c r="B70" s="107"/>
      <c r="C70" s="107" t="s">
        <v>116</v>
      </c>
      <c r="D70" s="107" t="s">
        <v>159</v>
      </c>
      <c r="E70" s="107" t="s">
        <v>160</v>
      </c>
      <c r="F70" s="107" t="s">
        <v>161</v>
      </c>
      <c r="G70" s="107" t="s">
        <v>162</v>
      </c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s="128" customFormat="1" x14ac:dyDescent="0.25">
      <c r="A71" s="117" t="s">
        <v>41</v>
      </c>
      <c r="C71" s="149">
        <f t="shared" ref="C71:G72" si="22">C58-B58</f>
        <v>982502567.63436723</v>
      </c>
      <c r="D71" s="149">
        <f t="shared" si="22"/>
        <v>30583521.426846623</v>
      </c>
      <c r="E71" s="149">
        <f t="shared" si="22"/>
        <v>32625025.163257003</v>
      </c>
      <c r="F71" s="149">
        <f t="shared" si="22"/>
        <v>32107784.941328526</v>
      </c>
      <c r="G71" s="149">
        <f t="shared" si="22"/>
        <v>33911077.602529526</v>
      </c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s="128" customFormat="1" x14ac:dyDescent="0.25">
      <c r="A72" s="117" t="s">
        <v>42</v>
      </c>
      <c r="C72" s="149">
        <f t="shared" si="22"/>
        <v>65163073.238366745</v>
      </c>
      <c r="D72" s="149">
        <f t="shared" si="22"/>
        <v>2044446.2783002183</v>
      </c>
      <c r="E72" s="149">
        <f t="shared" si="22"/>
        <v>2108589.3639028072</v>
      </c>
      <c r="F72" s="149">
        <f t="shared" si="22"/>
        <v>2174744.8943784982</v>
      </c>
      <c r="G72" s="149">
        <f t="shared" si="22"/>
        <v>2242976.0087905079</v>
      </c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s="128" customFormat="1" x14ac:dyDescent="0.25">
      <c r="C73" s="123"/>
      <c r="D73" s="123"/>
      <c r="E73" s="123"/>
      <c r="F73" s="123"/>
      <c r="G73" s="123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7" s="128" customFormat="1" x14ac:dyDescent="0.25">
      <c r="A74" s="145" t="s">
        <v>132</v>
      </c>
      <c r="C74" s="146">
        <f>SUM(C71:C72)</f>
        <v>1047665640.872734</v>
      </c>
      <c r="D74" s="146">
        <f>SUM(D71:D72)</f>
        <v>32627967.705146842</v>
      </c>
      <c r="E74" s="146">
        <f>SUM(E71:E72)</f>
        <v>34733614.52715981</v>
      </c>
      <c r="F74" s="146">
        <f>SUM(F71:F72)</f>
        <v>34282529.835707024</v>
      </c>
      <c r="G74" s="146">
        <f>SUM(G71:G72)</f>
        <v>36154053.611320034</v>
      </c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s="128" customFormat="1" x14ac:dyDescent="0.25"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s="128" customFormat="1" x14ac:dyDescent="0.2">
      <c r="C76" s="149"/>
      <c r="D76" s="149"/>
      <c r="E76" s="149"/>
      <c r="F76" s="149"/>
      <c r="G76" s="149"/>
    </row>
    <row r="77" spans="1:17" s="128" customFormat="1" x14ac:dyDescent="0.2">
      <c r="A77" s="94" t="s">
        <v>133</v>
      </c>
      <c r="C77" s="150"/>
      <c r="D77" s="150"/>
      <c r="E77" s="150"/>
      <c r="F77" s="150"/>
      <c r="G77" s="150"/>
    </row>
    <row r="78" spans="1:17" s="128" customFormat="1" x14ac:dyDescent="0.2">
      <c r="A78" s="280" t="s">
        <v>108</v>
      </c>
      <c r="B78" s="281" t="s">
        <v>134</v>
      </c>
    </row>
    <row r="79" spans="1:17" s="128" customFormat="1" x14ac:dyDescent="0.2">
      <c r="A79" s="282" t="s">
        <v>135</v>
      </c>
      <c r="B79" s="283">
        <v>0.99582199999999998</v>
      </c>
    </row>
    <row r="80" spans="1:17" s="128" customFormat="1" x14ac:dyDescent="0.2">
      <c r="A80" s="282" t="s">
        <v>27</v>
      </c>
      <c r="B80" s="283">
        <v>-2.5047769999999998</v>
      </c>
    </row>
    <row r="81" spans="1:7" s="128" customFormat="1" x14ac:dyDescent="0.2"/>
    <row r="82" spans="1:7" s="128" customFormat="1" x14ac:dyDescent="0.2"/>
    <row r="83" spans="1:7" s="128" customFormat="1" x14ac:dyDescent="0.2">
      <c r="A83" s="94" t="s">
        <v>136</v>
      </c>
    </row>
    <row r="84" spans="1:7" ht="6" customHeight="1" x14ac:dyDescent="0.2">
      <c r="A84" s="94"/>
    </row>
    <row r="85" spans="1:7" s="128" customFormat="1" x14ac:dyDescent="0.2">
      <c r="A85" s="105" t="s">
        <v>105</v>
      </c>
      <c r="B85" s="95"/>
      <c r="C85" s="106"/>
      <c r="D85" s="106"/>
      <c r="E85" s="106"/>
      <c r="F85" s="106"/>
      <c r="G85" s="106"/>
    </row>
    <row r="86" spans="1:7" s="128" customFormat="1" x14ac:dyDescent="0.2">
      <c r="A86" s="114" t="s">
        <v>137</v>
      </c>
      <c r="B86" s="95"/>
      <c r="C86" s="106"/>
      <c r="D86" s="106"/>
      <c r="E86" s="106"/>
      <c r="F86" s="106"/>
      <c r="G86" s="106"/>
    </row>
    <row r="87" spans="1:7" s="128" customFormat="1" x14ac:dyDescent="0.2">
      <c r="A87" s="106" t="s">
        <v>121</v>
      </c>
      <c r="B87" s="107"/>
      <c r="C87" s="107" t="s">
        <v>116</v>
      </c>
      <c r="D87" s="107" t="s">
        <v>159</v>
      </c>
      <c r="E87" s="107" t="s">
        <v>160</v>
      </c>
      <c r="F87" s="107" t="s">
        <v>161</v>
      </c>
      <c r="G87" s="107" t="s">
        <v>162</v>
      </c>
    </row>
    <row r="88" spans="1:7" s="128" customFormat="1" x14ac:dyDescent="0.2">
      <c r="A88" s="115" t="s">
        <v>138</v>
      </c>
      <c r="B88" s="116"/>
      <c r="C88" s="116">
        <f t="shared" ref="C88:G88" si="23">EXP($B$80+$B$79*LN(D19))</f>
        <v>325031.11401185836</v>
      </c>
      <c r="D88" s="116">
        <f t="shared" si="23"/>
        <v>333972.83179283328</v>
      </c>
      <c r="E88" s="116">
        <f t="shared" si="23"/>
        <v>345436.64101254969</v>
      </c>
      <c r="F88" s="116">
        <f t="shared" si="23"/>
        <v>354015.29356753326</v>
      </c>
      <c r="G88" s="116">
        <f t="shared" si="23"/>
        <v>364503.38699105434</v>
      </c>
    </row>
    <row r="89" spans="1:7" s="128" customFormat="1" x14ac:dyDescent="0.2">
      <c r="A89" s="115" t="s">
        <v>139</v>
      </c>
      <c r="B89" s="151"/>
      <c r="C89" s="151">
        <f t="shared" ref="C89:G89" si="24">C88/D19</f>
        <v>7.6647816641884817E-2</v>
      </c>
      <c r="D89" s="151">
        <f t="shared" si="24"/>
        <v>7.6639089915164688E-2</v>
      </c>
      <c r="E89" s="151">
        <f t="shared" si="24"/>
        <v>7.6628238787353642E-2</v>
      </c>
      <c r="F89" s="151">
        <f t="shared" si="24"/>
        <v>7.6620352616335499E-2</v>
      </c>
      <c r="G89" s="151">
        <f t="shared" si="24"/>
        <v>7.6610967847197314E-2</v>
      </c>
    </row>
    <row r="90" spans="1:7" s="128" customFormat="1" x14ac:dyDescent="0.2"/>
    <row r="91" spans="1:7" s="128" customFormat="1" x14ac:dyDescent="0.2"/>
    <row r="92" spans="1:7" s="128" customFormat="1" x14ac:dyDescent="0.2"/>
    <row r="93" spans="1:7" s="128" customFormat="1" x14ac:dyDescent="0.2"/>
    <row r="94" spans="1:7" s="128" customFormat="1" x14ac:dyDescent="0.2">
      <c r="A94" s="115"/>
    </row>
    <row r="95" spans="1:7" s="128" customFormat="1" x14ac:dyDescent="0.2">
      <c r="A95" s="115"/>
    </row>
    <row r="96" spans="1:7" s="128" customFormat="1" x14ac:dyDescent="0.2">
      <c r="A96" s="115"/>
    </row>
    <row r="97" spans="1:1" s="128" customFormat="1" x14ac:dyDescent="0.2">
      <c r="A97" s="115"/>
    </row>
    <row r="98" spans="1:1" s="128" customFormat="1" x14ac:dyDescent="0.2">
      <c r="A98" s="117"/>
    </row>
    <row r="99" spans="1:1" s="128" customFormat="1" x14ac:dyDescent="0.2"/>
  </sheetData>
  <sheetProtection algorithmName="SHA-512" hashValue="KhWJF1jdv48uM6rnqzwvMpGBWvGL0sV7KJnKR17PENmdTc7f2o3gw9eIdbasiAQNqqnY8QgwnKJDhxP/xl6NmQ==" saltValue="rzT/WNYbrrJjD2PMRhyvdw==" spinCount="100000" sheet="1" objects="1" scenarios="1"/>
  <mergeCells count="3">
    <mergeCell ref="A16:A17"/>
    <mergeCell ref="B16:B17"/>
    <mergeCell ref="D16:H16"/>
  </mergeCells>
  <pageMargins left="0.74803149606299213" right="0.74803149606299213" top="0.51181102362204722" bottom="0.51181102362204722" header="0.39370078740157483" footer="0"/>
  <pageSetup scale="42" orientation="landscape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1:Z106"/>
  <sheetViews>
    <sheetView zoomScale="70" zoomScaleNormal="70" workbookViewId="0"/>
  </sheetViews>
  <sheetFormatPr baseColWidth="10" defaultColWidth="11.42578125" defaultRowHeight="15" x14ac:dyDescent="0.25"/>
  <cols>
    <col min="1" max="1" width="4.7109375" style="20" customWidth="1"/>
    <col min="2" max="2" width="33.5703125" style="20" customWidth="1"/>
    <col min="3" max="3" width="6" style="20" customWidth="1"/>
    <col min="4" max="7" width="18.5703125" style="20" bestFit="1" customWidth="1"/>
    <col min="8" max="8" width="18.5703125" style="20" customWidth="1"/>
    <col min="9" max="9" width="11.42578125" style="20"/>
    <col min="10" max="10" width="51.5703125" style="20" customWidth="1"/>
    <col min="11" max="11" width="12.28515625" style="20" customWidth="1"/>
    <col min="12" max="12" width="11.28515625" style="20" customWidth="1"/>
    <col min="13" max="18" width="11.42578125" style="20"/>
    <col min="19" max="19" width="13.28515625" style="20" customWidth="1"/>
    <col min="20" max="20" width="11.42578125" style="20"/>
    <col min="21" max="21" width="15.140625" style="20" hidden="1" customWidth="1"/>
    <col min="22" max="22" width="14.5703125" style="20" hidden="1" customWidth="1"/>
    <col min="23" max="23" width="14.28515625" style="20" hidden="1" customWidth="1"/>
    <col min="24" max="24" width="13" style="20" hidden="1" customWidth="1"/>
    <col min="25" max="25" width="16.85546875" style="20" hidden="1" customWidth="1"/>
    <col min="26" max="27" width="0" style="20" hidden="1" customWidth="1"/>
    <col min="28" max="16384" width="11.42578125" style="20"/>
  </cols>
  <sheetData>
    <row r="1" spans="2:25" x14ac:dyDescent="0.25">
      <c r="B1" s="53" t="s">
        <v>105</v>
      </c>
      <c r="D1" s="33"/>
    </row>
    <row r="3" spans="2:25" x14ac:dyDescent="0.25">
      <c r="B3" s="32" t="s">
        <v>18</v>
      </c>
    </row>
    <row r="4" spans="2:25" x14ac:dyDescent="0.25">
      <c r="B4" s="20" t="s">
        <v>72</v>
      </c>
    </row>
    <row r="5" spans="2:25" ht="18" customHeight="1" thickBot="1" x14ac:dyDescent="0.3">
      <c r="C5" s="32"/>
      <c r="J5" s="318" t="s">
        <v>253</v>
      </c>
      <c r="K5" s="319"/>
      <c r="L5" s="319"/>
      <c r="M5" s="319"/>
      <c r="N5" s="319"/>
      <c r="O5" s="319"/>
      <c r="P5" s="319"/>
      <c r="Q5" s="319"/>
      <c r="R5" s="319"/>
      <c r="S5" s="319"/>
    </row>
    <row r="6" spans="2:25" ht="28.5" x14ac:dyDescent="0.25">
      <c r="B6" s="311" t="s">
        <v>151</v>
      </c>
      <c r="C6" s="312"/>
      <c r="D6" s="234" t="s">
        <v>206</v>
      </c>
      <c r="E6" s="234" t="s">
        <v>207</v>
      </c>
      <c r="F6" s="234" t="s">
        <v>208</v>
      </c>
      <c r="G6" s="234" t="s">
        <v>209</v>
      </c>
      <c r="H6" s="234" t="s">
        <v>63</v>
      </c>
      <c r="J6" s="5" t="s">
        <v>74</v>
      </c>
      <c r="K6" s="6" t="s">
        <v>226</v>
      </c>
      <c r="L6" s="6" t="s">
        <v>213</v>
      </c>
      <c r="M6" s="6" t="s">
        <v>212</v>
      </c>
      <c r="N6" s="6" t="s">
        <v>214</v>
      </c>
      <c r="O6" s="6" t="s">
        <v>215</v>
      </c>
      <c r="P6" s="6" t="s">
        <v>216</v>
      </c>
      <c r="Q6" s="6" t="s">
        <v>217</v>
      </c>
      <c r="R6" s="6" t="s">
        <v>211</v>
      </c>
      <c r="S6" s="7" t="s">
        <v>22</v>
      </c>
    </row>
    <row r="7" spans="2:25" x14ac:dyDescent="0.25">
      <c r="B7" s="154"/>
      <c r="C7" s="72"/>
      <c r="D7" s="155"/>
      <c r="E7" s="155"/>
      <c r="F7" s="155"/>
      <c r="G7" s="155"/>
      <c r="H7" s="156"/>
      <c r="J7" s="8" t="s">
        <v>227</v>
      </c>
      <c r="K7" s="205">
        <f>SUM(K8:K19)</f>
        <v>9212.3574033455625</v>
      </c>
      <c r="L7" s="205">
        <f t="shared" ref="L7:O7" si="0">SUM(L8:L18)</f>
        <v>0</v>
      </c>
      <c r="M7" s="205">
        <f t="shared" si="0"/>
        <v>2364</v>
      </c>
      <c r="N7" s="205">
        <f t="shared" si="0"/>
        <v>8116</v>
      </c>
      <c r="O7" s="205">
        <f t="shared" si="0"/>
        <v>3247</v>
      </c>
      <c r="P7" s="205">
        <f>SUM(P8:P18)</f>
        <v>1082</v>
      </c>
      <c r="Q7" s="205">
        <f t="shared" ref="Q7" si="1">SUM(Q8:Q18)</f>
        <v>0</v>
      </c>
      <c r="R7" s="205">
        <f t="shared" ref="R7" si="2">SUM(R8:R18)</f>
        <v>0</v>
      </c>
      <c r="S7" s="206">
        <f>SUM(K7:R7)</f>
        <v>24021.357403345562</v>
      </c>
      <c r="U7" s="54">
        <f t="shared" ref="U7:U19" si="3">+K7+L7</f>
        <v>9212.3574033455625</v>
      </c>
      <c r="V7" s="54">
        <f t="shared" ref="V7:V19" si="4">+M7+N7</f>
        <v>10480</v>
      </c>
      <c r="W7" s="54">
        <f t="shared" ref="W7:W19" si="5">+O7+P7</f>
        <v>4329</v>
      </c>
      <c r="X7" s="54">
        <f t="shared" ref="X7:X19" si="6">+Q7+R7</f>
        <v>0</v>
      </c>
      <c r="Y7" s="54">
        <f t="shared" ref="Y7:Y19" si="7">SUM(U7:X7)</f>
        <v>24021.357403345562</v>
      </c>
    </row>
    <row r="8" spans="2:25" x14ac:dyDescent="0.25">
      <c r="B8" s="154" t="s">
        <v>43</v>
      </c>
      <c r="C8" s="157" t="s">
        <v>41</v>
      </c>
      <c r="D8" s="158">
        <f>+D16+D24</f>
        <v>41884.010663692185</v>
      </c>
      <c r="E8" s="158">
        <f t="shared" ref="D8:G9" si="8">+E16+E24</f>
        <v>50480.986398011759</v>
      </c>
      <c r="F8" s="158">
        <f t="shared" si="8"/>
        <v>40031.968442779973</v>
      </c>
      <c r="G8" s="158">
        <f t="shared" si="8"/>
        <v>34919.531022529525</v>
      </c>
      <c r="H8" s="159">
        <f>SUM(D8:G8)</f>
        <v>167316.49652701343</v>
      </c>
      <c r="J8" s="9" t="s">
        <v>168</v>
      </c>
      <c r="K8" s="207"/>
      <c r="L8" s="207"/>
      <c r="M8" s="207">
        <v>2364</v>
      </c>
      <c r="N8" s="207"/>
      <c r="O8" s="207"/>
      <c r="P8" s="207"/>
      <c r="Q8" s="207"/>
      <c r="R8" s="207"/>
      <c r="S8" s="208">
        <f>SUM(K8:R8)</f>
        <v>2364</v>
      </c>
      <c r="U8" s="54">
        <f t="shared" si="3"/>
        <v>0</v>
      </c>
      <c r="V8" s="54">
        <f t="shared" si="4"/>
        <v>2364</v>
      </c>
      <c r="W8" s="54">
        <f t="shared" si="5"/>
        <v>0</v>
      </c>
      <c r="X8" s="54">
        <f t="shared" si="6"/>
        <v>0</v>
      </c>
      <c r="Y8" s="54">
        <f t="shared" si="7"/>
        <v>2364</v>
      </c>
    </row>
    <row r="9" spans="2:25" x14ac:dyDescent="0.25">
      <c r="B9" s="154" t="s">
        <v>37</v>
      </c>
      <c r="C9" s="157" t="s">
        <v>42</v>
      </c>
      <c r="D9" s="158">
        <f t="shared" si="8"/>
        <v>2571.4462783002182</v>
      </c>
      <c r="E9" s="158">
        <f t="shared" si="8"/>
        <v>2757.5893639028072</v>
      </c>
      <c r="F9" s="158">
        <f t="shared" si="8"/>
        <v>2422.744894378498</v>
      </c>
      <c r="G9" s="158">
        <f t="shared" si="8"/>
        <v>2490.9760087905079</v>
      </c>
      <c r="H9" s="159">
        <f>SUM(D9:G9)</f>
        <v>10242.756545372031</v>
      </c>
      <c r="J9" s="9" t="s">
        <v>169</v>
      </c>
      <c r="K9" s="207"/>
      <c r="L9" s="207"/>
      <c r="M9" s="207"/>
      <c r="N9" s="207">
        <v>1948</v>
      </c>
      <c r="O9" s="207"/>
      <c r="P9" s="207"/>
      <c r="Q9" s="207"/>
      <c r="R9" s="207"/>
      <c r="S9" s="208">
        <f t="shared" ref="S9:S18" si="9">SUM(K9:R9)</f>
        <v>1948</v>
      </c>
      <c r="U9" s="54">
        <f t="shared" si="3"/>
        <v>0</v>
      </c>
      <c r="V9" s="54">
        <f t="shared" si="4"/>
        <v>1948</v>
      </c>
      <c r="W9" s="54">
        <f t="shared" si="5"/>
        <v>0</v>
      </c>
      <c r="X9" s="54">
        <f t="shared" si="6"/>
        <v>0</v>
      </c>
      <c r="Y9" s="54">
        <f t="shared" si="7"/>
        <v>1948</v>
      </c>
    </row>
    <row r="10" spans="2:25" ht="13.5" customHeight="1" x14ac:dyDescent="0.25">
      <c r="B10" s="154" t="s">
        <v>73</v>
      </c>
      <c r="C10" s="157" t="s">
        <v>55</v>
      </c>
      <c r="D10" s="158">
        <f>+D32</f>
        <v>3240.7469999999998</v>
      </c>
      <c r="E10" s="158">
        <f>+E32</f>
        <v>3601.908175</v>
      </c>
      <c r="F10" s="158">
        <f>+F32</f>
        <v>3211.6101749999998</v>
      </c>
      <c r="G10" s="158">
        <f>+G32</f>
        <v>3865.2323499999998</v>
      </c>
      <c r="H10" s="159">
        <f>SUM(D10:G10)</f>
        <v>13919.4977</v>
      </c>
      <c r="J10" s="9" t="s">
        <v>170</v>
      </c>
      <c r="K10" s="207"/>
      <c r="L10" s="207"/>
      <c r="M10" s="207"/>
      <c r="N10" s="207"/>
      <c r="O10" s="207"/>
      <c r="P10" s="207">
        <v>1082</v>
      </c>
      <c r="Q10" s="207"/>
      <c r="R10" s="207"/>
      <c r="S10" s="208">
        <f t="shared" si="9"/>
        <v>1082</v>
      </c>
      <c r="U10" s="54">
        <f t="shared" si="3"/>
        <v>0</v>
      </c>
      <c r="V10" s="54">
        <f t="shared" si="4"/>
        <v>0</v>
      </c>
      <c r="W10" s="54">
        <f t="shared" si="5"/>
        <v>1082</v>
      </c>
      <c r="X10" s="54">
        <f t="shared" si="6"/>
        <v>0</v>
      </c>
      <c r="Y10" s="54">
        <f t="shared" si="7"/>
        <v>1082</v>
      </c>
    </row>
    <row r="11" spans="2:25" x14ac:dyDescent="0.25">
      <c r="B11" s="160"/>
      <c r="C11" s="72"/>
      <c r="D11" s="161"/>
      <c r="E11" s="161"/>
      <c r="F11" s="161"/>
      <c r="G11" s="161"/>
      <c r="H11" s="162"/>
      <c r="J11" s="9" t="s">
        <v>171</v>
      </c>
      <c r="K11" s="207">
        <v>424.20472079999996</v>
      </c>
      <c r="L11" s="207"/>
      <c r="M11" s="207"/>
      <c r="N11" s="207"/>
      <c r="O11" s="207"/>
      <c r="P11" s="207"/>
      <c r="Q11" s="207"/>
      <c r="R11" s="207"/>
      <c r="S11" s="208">
        <f t="shared" si="9"/>
        <v>424.20472079999996</v>
      </c>
      <c r="U11" s="54">
        <f t="shared" si="3"/>
        <v>424.20472079999996</v>
      </c>
      <c r="V11" s="54">
        <f t="shared" si="4"/>
        <v>0</v>
      </c>
      <c r="W11" s="54">
        <f t="shared" si="5"/>
        <v>0</v>
      </c>
      <c r="X11" s="54">
        <f t="shared" si="6"/>
        <v>0</v>
      </c>
      <c r="Y11" s="54">
        <f t="shared" si="7"/>
        <v>424.20472079999996</v>
      </c>
    </row>
    <row r="12" spans="2:25" x14ac:dyDescent="0.25">
      <c r="B12" s="18" t="s">
        <v>19</v>
      </c>
      <c r="C12" s="163"/>
      <c r="D12" s="164">
        <f>+D8+D9+D10</f>
        <v>47696.203941992404</v>
      </c>
      <c r="E12" s="165">
        <f>+E8+E9+E10</f>
        <v>56840.483936914563</v>
      </c>
      <c r="F12" s="165">
        <f>+F8+F9+F10</f>
        <v>45666.323512158473</v>
      </c>
      <c r="G12" s="164">
        <f>+G8+G9+G10</f>
        <v>41275.739381320032</v>
      </c>
      <c r="H12" s="166">
        <f>SUM(D12:G12)</f>
        <v>191478.75077238545</v>
      </c>
      <c r="J12" s="9" t="s">
        <v>172</v>
      </c>
      <c r="K12" s="207">
        <v>1520.6164040878168</v>
      </c>
      <c r="L12" s="207"/>
      <c r="M12" s="207"/>
      <c r="N12" s="207"/>
      <c r="O12" s="207"/>
      <c r="P12" s="207"/>
      <c r="Q12" s="207"/>
      <c r="R12" s="207"/>
      <c r="S12" s="208">
        <f t="shared" si="9"/>
        <v>1520.6164040878168</v>
      </c>
      <c r="U12" s="54">
        <f t="shared" si="3"/>
        <v>1520.6164040878168</v>
      </c>
      <c r="V12" s="54">
        <f t="shared" si="4"/>
        <v>0</v>
      </c>
      <c r="W12" s="54">
        <f t="shared" si="5"/>
        <v>0</v>
      </c>
      <c r="X12" s="54">
        <f t="shared" si="6"/>
        <v>0</v>
      </c>
      <c r="Y12" s="54">
        <f t="shared" si="7"/>
        <v>1520.6164040878168</v>
      </c>
    </row>
    <row r="13" spans="2:25" x14ac:dyDescent="0.25">
      <c r="B13" s="45"/>
      <c r="C13" s="45"/>
      <c r="E13" s="40"/>
      <c r="F13" s="40"/>
      <c r="G13" s="40"/>
      <c r="H13" s="40"/>
      <c r="J13" s="9" t="s">
        <v>173</v>
      </c>
      <c r="K13" s="207">
        <v>1968.5362784577467</v>
      </c>
      <c r="L13" s="207"/>
      <c r="M13" s="207"/>
      <c r="N13" s="207"/>
      <c r="O13" s="207"/>
      <c r="P13" s="207"/>
      <c r="Q13" s="207"/>
      <c r="R13" s="207"/>
      <c r="S13" s="208">
        <f t="shared" si="9"/>
        <v>1968.5362784577467</v>
      </c>
      <c r="U13" s="54">
        <f t="shared" si="3"/>
        <v>1968.5362784577467</v>
      </c>
      <c r="V13" s="54">
        <f t="shared" si="4"/>
        <v>0</v>
      </c>
      <c r="W13" s="54">
        <f t="shared" si="5"/>
        <v>0</v>
      </c>
      <c r="X13" s="54">
        <f t="shared" si="6"/>
        <v>0</v>
      </c>
      <c r="Y13" s="54">
        <f t="shared" si="7"/>
        <v>1968.5362784577467</v>
      </c>
    </row>
    <row r="14" spans="2:25" ht="15.75" thickBot="1" x14ac:dyDescent="0.3">
      <c r="B14" s="32"/>
      <c r="E14" s="32"/>
      <c r="F14" s="32"/>
      <c r="G14" s="32"/>
      <c r="H14" s="32"/>
      <c r="J14" s="9" t="s">
        <v>174</v>
      </c>
      <c r="K14" s="207"/>
      <c r="L14" s="207"/>
      <c r="M14" s="207"/>
      <c r="N14" s="207">
        <v>108</v>
      </c>
      <c r="O14" s="207"/>
      <c r="P14" s="207"/>
      <c r="Q14" s="207"/>
      <c r="R14" s="207"/>
      <c r="S14" s="208">
        <f t="shared" si="9"/>
        <v>108</v>
      </c>
      <c r="U14" s="54">
        <f t="shared" si="3"/>
        <v>0</v>
      </c>
      <c r="V14" s="54">
        <f t="shared" si="4"/>
        <v>108</v>
      </c>
      <c r="W14" s="54">
        <f t="shared" si="5"/>
        <v>0</v>
      </c>
      <c r="X14" s="54">
        <f t="shared" si="6"/>
        <v>0</v>
      </c>
      <c r="Y14" s="54">
        <f t="shared" si="7"/>
        <v>108</v>
      </c>
    </row>
    <row r="15" spans="2:25" x14ac:dyDescent="0.25">
      <c r="B15" s="311" t="s">
        <v>183</v>
      </c>
      <c r="C15" s="312"/>
      <c r="D15" s="234" t="s">
        <v>164</v>
      </c>
      <c r="E15" s="234" t="s">
        <v>165</v>
      </c>
      <c r="F15" s="234" t="s">
        <v>166</v>
      </c>
      <c r="G15" s="234" t="s">
        <v>167</v>
      </c>
      <c r="H15" s="234" t="s">
        <v>22</v>
      </c>
      <c r="J15" s="9" t="s">
        <v>175</v>
      </c>
      <c r="K15" s="207"/>
      <c r="L15" s="207"/>
      <c r="M15" s="207"/>
      <c r="N15" s="207">
        <v>6060</v>
      </c>
      <c r="O15" s="207">
        <v>1407</v>
      </c>
      <c r="P15" s="207"/>
      <c r="Q15" s="207"/>
      <c r="R15" s="207"/>
      <c r="S15" s="208">
        <f t="shared" si="9"/>
        <v>7467</v>
      </c>
      <c r="U15" s="54">
        <f t="shared" si="3"/>
        <v>0</v>
      </c>
      <c r="V15" s="54">
        <f t="shared" si="4"/>
        <v>6060</v>
      </c>
      <c r="W15" s="54">
        <f t="shared" si="5"/>
        <v>1407</v>
      </c>
      <c r="X15" s="54">
        <f t="shared" si="6"/>
        <v>0</v>
      </c>
      <c r="Y15" s="54">
        <f t="shared" si="7"/>
        <v>7467</v>
      </c>
    </row>
    <row r="16" spans="2:25" x14ac:dyDescent="0.25">
      <c r="B16" s="24" t="s">
        <v>43</v>
      </c>
      <c r="C16" s="167" t="s">
        <v>41</v>
      </c>
      <c r="D16" s="168">
        <f>+REGRESIONES!D71/1000</f>
        <v>30583.521426846622</v>
      </c>
      <c r="E16" s="168">
        <f>+REGRESIONES!E71/1000</f>
        <v>32625.025163257003</v>
      </c>
      <c r="F16" s="168">
        <f>+REGRESIONES!F71/1000</f>
        <v>32107.784941328526</v>
      </c>
      <c r="G16" s="168">
        <f>+REGRESIONES!G71/1000</f>
        <v>33911.077602529527</v>
      </c>
      <c r="H16" s="168">
        <f>SUM(D16:G16)</f>
        <v>129227.40913396169</v>
      </c>
      <c r="J16" s="9" t="s">
        <v>176</v>
      </c>
      <c r="K16" s="207"/>
      <c r="L16" s="207"/>
      <c r="M16" s="207"/>
      <c r="N16" s="207"/>
      <c r="O16" s="207"/>
      <c r="P16" s="207"/>
      <c r="Q16" s="207"/>
      <c r="R16" s="207"/>
      <c r="S16" s="208">
        <f t="shared" si="9"/>
        <v>0</v>
      </c>
      <c r="U16" s="54">
        <f t="shared" si="3"/>
        <v>0</v>
      </c>
      <c r="V16" s="54">
        <f t="shared" si="4"/>
        <v>0</v>
      </c>
      <c r="W16" s="54">
        <f t="shared" si="5"/>
        <v>0</v>
      </c>
      <c r="X16" s="54">
        <f t="shared" si="6"/>
        <v>0</v>
      </c>
      <c r="Y16" s="54">
        <f t="shared" si="7"/>
        <v>0</v>
      </c>
    </row>
    <row r="17" spans="2:25" x14ac:dyDescent="0.25">
      <c r="B17" s="76" t="s">
        <v>37</v>
      </c>
      <c r="C17" s="77" t="s">
        <v>42</v>
      </c>
      <c r="D17" s="169">
        <f>+REGRESIONES!D72/1000</f>
        <v>2044.4462783002182</v>
      </c>
      <c r="E17" s="169">
        <f>+REGRESIONES!E72/1000</f>
        <v>2108.5893639028072</v>
      </c>
      <c r="F17" s="169">
        <f>+REGRESIONES!F72/1000</f>
        <v>2174.744894378498</v>
      </c>
      <c r="G17" s="169">
        <f>+REGRESIONES!G72/1000</f>
        <v>2242.9760087905079</v>
      </c>
      <c r="H17" s="169">
        <f>SUM(D17:G17)</f>
        <v>8570.7565453720308</v>
      </c>
      <c r="J17" s="9" t="s">
        <v>177</v>
      </c>
      <c r="K17" s="207"/>
      <c r="L17" s="207"/>
      <c r="M17" s="207"/>
      <c r="N17" s="207"/>
      <c r="O17" s="207">
        <v>1840</v>
      </c>
      <c r="P17" s="207"/>
      <c r="Q17" s="207"/>
      <c r="R17" s="207"/>
      <c r="S17" s="208">
        <f t="shared" si="9"/>
        <v>1840</v>
      </c>
      <c r="U17" s="54">
        <f t="shared" si="3"/>
        <v>0</v>
      </c>
      <c r="V17" s="54">
        <f t="shared" si="4"/>
        <v>0</v>
      </c>
      <c r="W17" s="54">
        <f t="shared" si="5"/>
        <v>1840</v>
      </c>
      <c r="X17" s="54">
        <f t="shared" si="6"/>
        <v>0</v>
      </c>
      <c r="Y17" s="54">
        <f t="shared" si="7"/>
        <v>1840</v>
      </c>
    </row>
    <row r="18" spans="2:25" ht="15.75" thickBot="1" x14ac:dyDescent="0.3">
      <c r="J18" s="10" t="s">
        <v>178</v>
      </c>
      <c r="K18" s="209"/>
      <c r="L18" s="209"/>
      <c r="M18" s="209"/>
      <c r="N18" s="209"/>
      <c r="O18" s="209"/>
      <c r="P18" s="209"/>
      <c r="Q18" s="209"/>
      <c r="R18" s="209"/>
      <c r="S18" s="210">
        <f t="shared" si="9"/>
        <v>0</v>
      </c>
      <c r="U18" s="54">
        <f t="shared" si="3"/>
        <v>0</v>
      </c>
      <c r="V18" s="54">
        <f t="shared" si="4"/>
        <v>0</v>
      </c>
      <c r="W18" s="54">
        <f t="shared" si="5"/>
        <v>0</v>
      </c>
      <c r="X18" s="54">
        <f t="shared" si="6"/>
        <v>0</v>
      </c>
      <c r="Y18" s="54">
        <f t="shared" si="7"/>
        <v>0</v>
      </c>
    </row>
    <row r="19" spans="2:25" ht="30" customHeight="1" thickBot="1" x14ac:dyDescent="0.3">
      <c r="B19" s="311" t="s">
        <v>152</v>
      </c>
      <c r="C19" s="312"/>
      <c r="D19" s="234" t="s">
        <v>164</v>
      </c>
      <c r="E19" s="234" t="s">
        <v>165</v>
      </c>
      <c r="F19" s="234" t="s">
        <v>166</v>
      </c>
      <c r="G19" s="234" t="s">
        <v>167</v>
      </c>
      <c r="H19" s="234" t="s">
        <v>22</v>
      </c>
      <c r="J19" s="254" t="s">
        <v>252</v>
      </c>
      <c r="K19" s="253">
        <v>5299</v>
      </c>
      <c r="L19" s="253"/>
      <c r="M19" s="253"/>
      <c r="N19" s="253"/>
      <c r="O19" s="253"/>
      <c r="P19" s="253"/>
      <c r="Q19" s="253"/>
      <c r="R19" s="253"/>
      <c r="S19" s="253">
        <f>SUM(K19:R19)</f>
        <v>5299</v>
      </c>
      <c r="U19" s="54">
        <f t="shared" si="3"/>
        <v>5299</v>
      </c>
      <c r="V19" s="54">
        <f t="shared" si="4"/>
        <v>0</v>
      </c>
      <c r="W19" s="54">
        <f t="shared" si="5"/>
        <v>0</v>
      </c>
      <c r="X19" s="54">
        <f t="shared" si="6"/>
        <v>0</v>
      </c>
      <c r="Y19" s="54">
        <f t="shared" si="7"/>
        <v>5299</v>
      </c>
    </row>
    <row r="20" spans="2:25" ht="15.75" thickBot="1" x14ac:dyDescent="0.3">
      <c r="B20" s="170" t="s">
        <v>140</v>
      </c>
      <c r="C20" s="171" t="s">
        <v>41</v>
      </c>
      <c r="D20" s="289">
        <f>+K7+L7</f>
        <v>9212.3574033455625</v>
      </c>
      <c r="E20" s="289">
        <f>+M7+N7</f>
        <v>10480</v>
      </c>
      <c r="F20" s="289">
        <f>+O7+P7</f>
        <v>4329</v>
      </c>
      <c r="G20" s="289">
        <f>+Q7+R7</f>
        <v>0</v>
      </c>
      <c r="H20" s="289">
        <f>SUM(D20:G20)</f>
        <v>24021.357403345562</v>
      </c>
    </row>
    <row r="21" spans="2:25" ht="15.75" thickBot="1" x14ac:dyDescent="0.3">
      <c r="B21" s="170" t="s">
        <v>251</v>
      </c>
      <c r="C21" s="171" t="s">
        <v>41</v>
      </c>
      <c r="D21" s="289">
        <f>+K23+L23</f>
        <v>1779.1318335000001</v>
      </c>
      <c r="E21" s="289">
        <f>+M23+N23</f>
        <v>6756.9612347547554</v>
      </c>
      <c r="F21" s="289">
        <f>+O23+P23</f>
        <v>2977.1835014514472</v>
      </c>
      <c r="G21" s="289">
        <f>+Q23+R23</f>
        <v>390.45341999999999</v>
      </c>
      <c r="H21" s="289">
        <f>SUM(D21:G21)</f>
        <v>11903.729989706202</v>
      </c>
      <c r="J21" s="320" t="s">
        <v>254</v>
      </c>
      <c r="K21" s="321"/>
      <c r="L21" s="321"/>
      <c r="M21" s="321"/>
      <c r="N21" s="321"/>
      <c r="O21" s="321"/>
      <c r="P21" s="321"/>
      <c r="Q21" s="321"/>
      <c r="R21" s="321"/>
      <c r="S21" s="322"/>
    </row>
    <row r="22" spans="2:25" ht="28.5" x14ac:dyDescent="0.25">
      <c r="B22" s="170" t="s">
        <v>141</v>
      </c>
      <c r="C22" s="171" t="s">
        <v>41</v>
      </c>
      <c r="D22" s="289">
        <f>+K39+L39</f>
        <v>309</v>
      </c>
      <c r="E22" s="289">
        <f>+M39+N39</f>
        <v>619</v>
      </c>
      <c r="F22" s="289">
        <f>+O39+P39</f>
        <v>618</v>
      </c>
      <c r="G22" s="289">
        <f>+Q39+R39</f>
        <v>618</v>
      </c>
      <c r="H22" s="289">
        <f>SUM(D22:G22)</f>
        <v>2164</v>
      </c>
      <c r="J22" s="1" t="s">
        <v>74</v>
      </c>
      <c r="K22" s="6" t="s">
        <v>210</v>
      </c>
      <c r="L22" s="6" t="s">
        <v>213</v>
      </c>
      <c r="M22" s="6" t="s">
        <v>212</v>
      </c>
      <c r="N22" s="6" t="s">
        <v>214</v>
      </c>
      <c r="O22" s="6" t="s">
        <v>215</v>
      </c>
      <c r="P22" s="6" t="s">
        <v>216</v>
      </c>
      <c r="Q22" s="6" t="s">
        <v>217</v>
      </c>
      <c r="R22" s="6" t="s">
        <v>211</v>
      </c>
      <c r="S22" s="7" t="s">
        <v>22</v>
      </c>
    </row>
    <row r="23" spans="2:25" x14ac:dyDescent="0.25">
      <c r="B23" s="170" t="s">
        <v>202</v>
      </c>
      <c r="C23" s="171" t="s">
        <v>42</v>
      </c>
      <c r="D23" s="290">
        <f>+L36+L35</f>
        <v>527</v>
      </c>
      <c r="E23" s="290">
        <f>+M36+N35+M35</f>
        <v>649</v>
      </c>
      <c r="F23" s="290">
        <f>+O35+P35</f>
        <v>248</v>
      </c>
      <c r="G23" s="290">
        <f>+Q35+R35</f>
        <v>248</v>
      </c>
      <c r="H23" s="290">
        <f>SUM(D23:G23)</f>
        <v>1672</v>
      </c>
      <c r="J23" s="172" t="s">
        <v>201</v>
      </c>
      <c r="K23" s="202">
        <f>SUM(K24:K34)</f>
        <v>0</v>
      </c>
      <c r="L23" s="291">
        <f>SUM(L24:L34)</f>
        <v>1779.1318335000001</v>
      </c>
      <c r="M23" s="291">
        <f t="shared" ref="M23:S23" si="10">SUM(M24:M34)</f>
        <v>3509.4569895</v>
      </c>
      <c r="N23" s="291">
        <f t="shared" si="10"/>
        <v>3247.5042452547555</v>
      </c>
      <c r="O23" s="291">
        <f t="shared" si="10"/>
        <v>969.06981300000007</v>
      </c>
      <c r="P23" s="291">
        <f t="shared" si="10"/>
        <v>2008.1136884514472</v>
      </c>
      <c r="Q23" s="291">
        <f t="shared" si="10"/>
        <v>390.45341999999999</v>
      </c>
      <c r="R23" s="291">
        <f t="shared" si="10"/>
        <v>0</v>
      </c>
      <c r="S23" s="291">
        <f t="shared" si="10"/>
        <v>11903.729989706202</v>
      </c>
      <c r="U23" s="54">
        <f>+K23+L23</f>
        <v>1779.1318335000001</v>
      </c>
      <c r="V23" s="54">
        <f>+M23+N23</f>
        <v>6756.9612347547554</v>
      </c>
      <c r="W23" s="54">
        <f>+O23+P23</f>
        <v>2977.1835014514472</v>
      </c>
      <c r="X23" s="54">
        <f>+Q23+R23</f>
        <v>390.45341999999999</v>
      </c>
      <c r="Y23" s="54">
        <f>SUM(U23:X23)</f>
        <v>11903.729989706202</v>
      </c>
    </row>
    <row r="24" spans="2:25" ht="45" x14ac:dyDescent="0.25">
      <c r="B24" s="170" t="s">
        <v>182</v>
      </c>
      <c r="C24" s="170"/>
      <c r="D24" s="289">
        <f>+D20+D21+D22</f>
        <v>11300.489236845562</v>
      </c>
      <c r="E24" s="289">
        <f>+E20+E21+E22</f>
        <v>17855.961234754755</v>
      </c>
      <c r="F24" s="289">
        <f>+F20+F21+F22</f>
        <v>7924.1835014514472</v>
      </c>
      <c r="G24" s="289">
        <f>+G20+G21+G22</f>
        <v>1008.4534200000001</v>
      </c>
      <c r="H24" s="289">
        <f>+H20+H21+H22</f>
        <v>38089.087393051763</v>
      </c>
      <c r="J24" s="173" t="s">
        <v>189</v>
      </c>
      <c r="K24" s="203"/>
      <c r="L24" s="292">
        <v>828.17225399999995</v>
      </c>
      <c r="M24" s="293"/>
      <c r="N24" s="293"/>
      <c r="O24" s="293"/>
      <c r="P24" s="293"/>
      <c r="Q24" s="293"/>
      <c r="R24" s="293"/>
      <c r="S24" s="294">
        <f>SUM(L24:R24)</f>
        <v>828.17225399999995</v>
      </c>
      <c r="U24" s="54">
        <f t="shared" ref="U24:U36" si="11">+K24+L24</f>
        <v>828.17225399999995</v>
      </c>
      <c r="V24" s="54">
        <f t="shared" ref="V24:V36" si="12">+M24+N24</f>
        <v>0</v>
      </c>
      <c r="W24" s="54">
        <f t="shared" ref="W24:W36" si="13">+O24+P24</f>
        <v>0</v>
      </c>
      <c r="X24" s="54">
        <f t="shared" ref="X24:X36" si="14">+Q24+R24</f>
        <v>0</v>
      </c>
      <c r="Y24" s="54">
        <f t="shared" ref="Y24:Y36" si="15">SUM(U24:X24)</f>
        <v>828.17225399999995</v>
      </c>
    </row>
    <row r="25" spans="2:25" ht="30" x14ac:dyDescent="0.25">
      <c r="B25" s="170" t="s">
        <v>181</v>
      </c>
      <c r="C25" s="170"/>
      <c r="D25" s="290">
        <f>+D23</f>
        <v>527</v>
      </c>
      <c r="E25" s="290">
        <f t="shared" ref="E25:H25" si="16">+E23</f>
        <v>649</v>
      </c>
      <c r="F25" s="290">
        <f t="shared" si="16"/>
        <v>248</v>
      </c>
      <c r="G25" s="290">
        <f t="shared" si="16"/>
        <v>248</v>
      </c>
      <c r="H25" s="290">
        <f t="shared" si="16"/>
        <v>1672</v>
      </c>
      <c r="J25" s="173" t="s">
        <v>190</v>
      </c>
      <c r="K25" s="203"/>
      <c r="L25" s="293"/>
      <c r="M25" s="293"/>
      <c r="N25" s="293"/>
      <c r="O25" s="293"/>
      <c r="P25" s="292">
        <v>590.70000000000005</v>
      </c>
      <c r="Q25" s="293"/>
      <c r="R25" s="293"/>
      <c r="S25" s="294">
        <f t="shared" ref="S25:S34" si="17">SUM(L25:R25)</f>
        <v>590.70000000000005</v>
      </c>
      <c r="U25" s="54">
        <f t="shared" si="11"/>
        <v>0</v>
      </c>
      <c r="V25" s="54">
        <f t="shared" si="12"/>
        <v>0</v>
      </c>
      <c r="W25" s="54">
        <f t="shared" si="13"/>
        <v>590.70000000000005</v>
      </c>
      <c r="X25" s="54">
        <f t="shared" si="14"/>
        <v>0</v>
      </c>
      <c r="Y25" s="54">
        <f t="shared" si="15"/>
        <v>590.70000000000005</v>
      </c>
    </row>
    <row r="26" spans="2:25" ht="75" customHeight="1" thickBot="1" x14ac:dyDescent="0.3">
      <c r="J26" s="173" t="s">
        <v>191</v>
      </c>
      <c r="K26" s="203"/>
      <c r="L26" s="292">
        <v>507.58944600000001</v>
      </c>
      <c r="M26" s="292"/>
      <c r="N26" s="293"/>
      <c r="O26" s="293"/>
      <c r="P26" s="293"/>
      <c r="Q26" s="293"/>
      <c r="R26" s="293"/>
      <c r="S26" s="294">
        <f t="shared" si="17"/>
        <v>507.58944600000001</v>
      </c>
      <c r="U26" s="54">
        <f t="shared" si="11"/>
        <v>507.58944600000001</v>
      </c>
      <c r="V26" s="54">
        <f t="shared" si="12"/>
        <v>0</v>
      </c>
      <c r="W26" s="54">
        <f t="shared" si="13"/>
        <v>0</v>
      </c>
      <c r="X26" s="54">
        <f t="shared" si="14"/>
        <v>0</v>
      </c>
      <c r="Y26" s="54">
        <f t="shared" si="15"/>
        <v>507.58944600000001</v>
      </c>
    </row>
    <row r="27" spans="2:25" ht="30" customHeight="1" x14ac:dyDescent="0.25">
      <c r="B27" s="251" t="s">
        <v>243</v>
      </c>
      <c r="C27" s="252"/>
      <c r="D27" s="234" t="s">
        <v>164</v>
      </c>
      <c r="E27" s="234" t="s">
        <v>165</v>
      </c>
      <c r="F27" s="234" t="s">
        <v>166</v>
      </c>
      <c r="G27" s="234" t="s">
        <v>167</v>
      </c>
      <c r="H27" s="234" t="s">
        <v>22</v>
      </c>
      <c r="J27" s="173" t="s">
        <v>192</v>
      </c>
      <c r="K27" s="203"/>
      <c r="L27" s="293"/>
      <c r="M27" s="292">
        <v>2466.0216</v>
      </c>
      <c r="N27" s="292">
        <v>625.75298099999998</v>
      </c>
      <c r="O27" s="293"/>
      <c r="P27" s="293"/>
      <c r="Q27" s="293"/>
      <c r="R27" s="293"/>
      <c r="S27" s="294">
        <f t="shared" si="17"/>
        <v>3091.7745810000001</v>
      </c>
      <c r="U27" s="54">
        <f t="shared" si="11"/>
        <v>0</v>
      </c>
      <c r="V27" s="54">
        <f t="shared" si="12"/>
        <v>3091.7745810000001</v>
      </c>
      <c r="W27" s="54">
        <f t="shared" si="13"/>
        <v>0</v>
      </c>
      <c r="X27" s="54">
        <f t="shared" si="14"/>
        <v>0</v>
      </c>
      <c r="Y27" s="54">
        <f t="shared" si="15"/>
        <v>3091.7745810000001</v>
      </c>
    </row>
    <row r="28" spans="2:25" ht="30" x14ac:dyDescent="0.25">
      <c r="B28" s="170" t="s">
        <v>236</v>
      </c>
      <c r="C28" s="170" t="s">
        <v>55</v>
      </c>
      <c r="D28" s="227">
        <f>+K44+L44</f>
        <v>396</v>
      </c>
      <c r="E28" s="227">
        <f>+M44+N44</f>
        <v>792</v>
      </c>
      <c r="F28" s="227">
        <f>+O44+P44</f>
        <v>792</v>
      </c>
      <c r="G28" s="227">
        <f>+Q44+R44</f>
        <v>792</v>
      </c>
      <c r="H28" s="227">
        <f>SUM(D28:G28)</f>
        <v>2772</v>
      </c>
      <c r="J28" s="173" t="s">
        <v>193</v>
      </c>
      <c r="K28" s="203"/>
      <c r="L28" s="292">
        <v>443.37013350000001</v>
      </c>
      <c r="M28" s="293"/>
      <c r="N28" s="292"/>
      <c r="O28" s="293"/>
      <c r="P28" s="293"/>
      <c r="Q28" s="293"/>
      <c r="R28" s="293"/>
      <c r="S28" s="294">
        <f t="shared" si="17"/>
        <v>443.37013350000001</v>
      </c>
      <c r="U28" s="54">
        <f t="shared" si="11"/>
        <v>443.37013350000001</v>
      </c>
      <c r="V28" s="54">
        <f t="shared" si="12"/>
        <v>0</v>
      </c>
      <c r="W28" s="54">
        <f t="shared" si="13"/>
        <v>0</v>
      </c>
      <c r="X28" s="54">
        <f t="shared" si="14"/>
        <v>0</v>
      </c>
      <c r="Y28" s="54">
        <f t="shared" si="15"/>
        <v>443.37013350000001</v>
      </c>
    </row>
    <row r="29" spans="2:25" ht="15" customHeight="1" x14ac:dyDescent="0.25">
      <c r="B29" s="170" t="s">
        <v>237</v>
      </c>
      <c r="C29" s="170" t="s">
        <v>55</v>
      </c>
      <c r="D29" s="227">
        <f>+K45+L45</f>
        <v>145</v>
      </c>
      <c r="E29" s="227">
        <f>+M45+N45</f>
        <v>294</v>
      </c>
      <c r="F29" s="227">
        <f>+O45+P45</f>
        <v>294</v>
      </c>
      <c r="G29" s="227">
        <f>+Q45+R45</f>
        <v>294</v>
      </c>
      <c r="H29" s="227">
        <f>SUM(D29:G29)</f>
        <v>1027</v>
      </c>
      <c r="J29" s="173" t="s">
        <v>194</v>
      </c>
      <c r="K29" s="203"/>
      <c r="L29" s="293"/>
      <c r="M29" s="292">
        <v>1043.4353894999999</v>
      </c>
      <c r="N29" s="292">
        <v>1072.1392536297553</v>
      </c>
      <c r="O29" s="293"/>
      <c r="P29" s="293"/>
      <c r="Q29" s="293"/>
      <c r="R29" s="293"/>
      <c r="S29" s="294">
        <f t="shared" si="17"/>
        <v>2115.5746431297553</v>
      </c>
      <c r="U29" s="54">
        <f t="shared" si="11"/>
        <v>0</v>
      </c>
      <c r="V29" s="54">
        <f t="shared" si="12"/>
        <v>2115.5746431297553</v>
      </c>
      <c r="W29" s="54">
        <f t="shared" si="13"/>
        <v>0</v>
      </c>
      <c r="X29" s="54">
        <f t="shared" si="14"/>
        <v>0</v>
      </c>
      <c r="Y29" s="54">
        <f t="shared" si="15"/>
        <v>2115.5746431297553</v>
      </c>
    </row>
    <row r="30" spans="2:25" ht="15.75" customHeight="1" x14ac:dyDescent="0.25">
      <c r="B30" s="170" t="s">
        <v>203</v>
      </c>
      <c r="C30" s="170" t="s">
        <v>55</v>
      </c>
      <c r="D30" s="227">
        <f>+K47+L47</f>
        <v>580</v>
      </c>
      <c r="E30" s="227">
        <f>+M47+N47</f>
        <v>1158</v>
      </c>
      <c r="F30" s="227">
        <f>+O47+P47</f>
        <v>1156</v>
      </c>
      <c r="G30" s="227">
        <f>+Q47+R47</f>
        <v>1156</v>
      </c>
      <c r="H30" s="227">
        <f>SUM(D30:G30)</f>
        <v>4050</v>
      </c>
      <c r="J30" s="288" t="s">
        <v>195</v>
      </c>
      <c r="K30" s="203"/>
      <c r="L30" s="293"/>
      <c r="M30" s="293"/>
      <c r="N30" s="293"/>
      <c r="O30" s="292">
        <v>264.06981300000001</v>
      </c>
      <c r="P30" s="293"/>
      <c r="Q30" s="293"/>
      <c r="R30" s="293"/>
      <c r="S30" s="294">
        <f t="shared" si="17"/>
        <v>264.06981300000001</v>
      </c>
      <c r="U30" s="54">
        <f t="shared" si="11"/>
        <v>0</v>
      </c>
      <c r="V30" s="54">
        <f t="shared" si="12"/>
        <v>0</v>
      </c>
      <c r="W30" s="54">
        <f t="shared" si="13"/>
        <v>264.06981300000001</v>
      </c>
      <c r="X30" s="54">
        <f t="shared" si="14"/>
        <v>0</v>
      </c>
      <c r="Y30" s="54">
        <f t="shared" si="15"/>
        <v>264.06981300000001</v>
      </c>
    </row>
    <row r="31" spans="2:25" ht="15.75" customHeight="1" x14ac:dyDescent="0.25">
      <c r="B31" s="170" t="s">
        <v>244</v>
      </c>
      <c r="C31" s="170" t="s">
        <v>55</v>
      </c>
      <c r="D31" s="227">
        <f>+K52+L52</f>
        <v>2119.7469999999998</v>
      </c>
      <c r="E31" s="227">
        <f>+M52+N52</f>
        <v>1357.908175</v>
      </c>
      <c r="F31" s="227">
        <f>+O52+P52</f>
        <v>969.6101749999998</v>
      </c>
      <c r="G31" s="227">
        <f>+Q52+R52</f>
        <v>1623.2323499999998</v>
      </c>
      <c r="H31" s="227">
        <f>SUM(D31:G31)</f>
        <v>6070.4976999999999</v>
      </c>
      <c r="J31" s="173" t="s">
        <v>196</v>
      </c>
      <c r="K31" s="203"/>
      <c r="L31" s="293"/>
      <c r="M31" s="293"/>
      <c r="N31" s="292">
        <v>339.07796999999999</v>
      </c>
      <c r="O31" s="293"/>
      <c r="P31" s="293"/>
      <c r="Q31" s="293"/>
      <c r="R31" s="293"/>
      <c r="S31" s="294">
        <f t="shared" si="17"/>
        <v>339.07796999999999</v>
      </c>
      <c r="U31" s="54">
        <f t="shared" si="11"/>
        <v>0</v>
      </c>
      <c r="V31" s="54">
        <f t="shared" si="12"/>
        <v>339.07796999999999</v>
      </c>
      <c r="W31" s="54">
        <f t="shared" si="13"/>
        <v>0</v>
      </c>
      <c r="X31" s="54">
        <f t="shared" si="14"/>
        <v>0</v>
      </c>
      <c r="Y31" s="54">
        <f t="shared" si="15"/>
        <v>339.07796999999999</v>
      </c>
    </row>
    <row r="32" spans="2:25" ht="15" customHeight="1" x14ac:dyDescent="0.25">
      <c r="B32" s="18" t="s">
        <v>245</v>
      </c>
      <c r="C32" s="18"/>
      <c r="D32" s="227">
        <f>SUM(D28:D31)</f>
        <v>3240.7469999999998</v>
      </c>
      <c r="E32" s="227">
        <f>SUM(E28:E31)</f>
        <v>3601.908175</v>
      </c>
      <c r="F32" s="227">
        <f>SUM(F28:F31)</f>
        <v>3211.6101749999998</v>
      </c>
      <c r="G32" s="227">
        <f>SUM(G28:G31)</f>
        <v>3865.2323499999998</v>
      </c>
      <c r="H32" s="227">
        <f>SUM(H28:H31)</f>
        <v>13919.4977</v>
      </c>
      <c r="J32" s="173" t="s">
        <v>197</v>
      </c>
      <c r="K32" s="203"/>
      <c r="L32" s="293"/>
      <c r="M32" s="293"/>
      <c r="N32" s="293"/>
      <c r="O32" s="293"/>
      <c r="P32" s="293"/>
      <c r="Q32" s="292">
        <v>390.45341999999999</v>
      </c>
      <c r="R32" s="293"/>
      <c r="S32" s="294">
        <f t="shared" si="17"/>
        <v>390.45341999999999</v>
      </c>
      <c r="U32" s="54">
        <f t="shared" si="11"/>
        <v>0</v>
      </c>
      <c r="V32" s="54">
        <f t="shared" si="12"/>
        <v>0</v>
      </c>
      <c r="W32" s="54">
        <f t="shared" si="13"/>
        <v>0</v>
      </c>
      <c r="X32" s="54">
        <f t="shared" si="14"/>
        <v>390.45341999999999</v>
      </c>
      <c r="Y32" s="54">
        <f t="shared" si="15"/>
        <v>390.45341999999999</v>
      </c>
    </row>
    <row r="33" spans="2:26" ht="15" customHeight="1" thickBot="1" x14ac:dyDescent="0.3">
      <c r="B33" s="53"/>
      <c r="C33" s="53"/>
      <c r="D33" s="228"/>
      <c r="E33" s="228"/>
      <c r="F33" s="228"/>
      <c r="G33" s="228"/>
      <c r="H33" s="228"/>
      <c r="J33" s="173" t="s">
        <v>198</v>
      </c>
      <c r="K33" s="203"/>
      <c r="L33" s="293"/>
      <c r="M33" s="293"/>
      <c r="N33" s="293"/>
      <c r="O33" s="292">
        <v>705</v>
      </c>
      <c r="P33" s="292">
        <v>724.39384500000006</v>
      </c>
      <c r="Q33" s="293"/>
      <c r="R33" s="293"/>
      <c r="S33" s="294">
        <f t="shared" si="17"/>
        <v>1429.3938450000001</v>
      </c>
      <c r="U33" s="54">
        <f t="shared" si="11"/>
        <v>0</v>
      </c>
      <c r="V33" s="54">
        <f t="shared" si="12"/>
        <v>0</v>
      </c>
      <c r="W33" s="54">
        <f t="shared" si="13"/>
        <v>1429.3938450000001</v>
      </c>
      <c r="X33" s="54">
        <f t="shared" si="14"/>
        <v>0</v>
      </c>
      <c r="Y33" s="54">
        <f t="shared" si="15"/>
        <v>1429.3938450000001</v>
      </c>
    </row>
    <row r="34" spans="2:26" ht="30" customHeight="1" x14ac:dyDescent="0.25">
      <c r="B34" s="251" t="s">
        <v>246</v>
      </c>
      <c r="C34" s="252"/>
      <c r="D34" s="234" t="s">
        <v>247</v>
      </c>
      <c r="E34" s="234" t="s">
        <v>165</v>
      </c>
      <c r="F34" s="234" t="s">
        <v>166</v>
      </c>
      <c r="G34" s="234" t="s">
        <v>248</v>
      </c>
      <c r="H34" s="234" t="s">
        <v>63</v>
      </c>
      <c r="J34" s="173" t="s">
        <v>199</v>
      </c>
      <c r="K34" s="203"/>
      <c r="L34" s="293"/>
      <c r="M34" s="293"/>
      <c r="N34" s="292">
        <v>1210.534040625</v>
      </c>
      <c r="O34" s="293"/>
      <c r="P34" s="292">
        <v>693.01984345144695</v>
      </c>
      <c r="Q34" s="293"/>
      <c r="R34" s="293"/>
      <c r="S34" s="294">
        <f t="shared" si="17"/>
        <v>1903.553884076447</v>
      </c>
      <c r="U34" s="54">
        <f t="shared" si="11"/>
        <v>0</v>
      </c>
      <c r="V34" s="54">
        <f t="shared" si="12"/>
        <v>1210.534040625</v>
      </c>
      <c r="W34" s="54">
        <f t="shared" si="13"/>
        <v>693.01984345144695</v>
      </c>
      <c r="X34" s="54">
        <f t="shared" si="14"/>
        <v>0</v>
      </c>
      <c r="Y34" s="54">
        <f t="shared" si="15"/>
        <v>1903.553884076447</v>
      </c>
    </row>
    <row r="35" spans="2:26" ht="29.25" thickBot="1" x14ac:dyDescent="0.3">
      <c r="B35" s="226" t="s">
        <v>236</v>
      </c>
      <c r="C35" s="226"/>
      <c r="D35" s="229">
        <f>+K58+L58</f>
        <v>1547</v>
      </c>
      <c r="E35" s="229">
        <f>+M58+N58</f>
        <v>3094</v>
      </c>
      <c r="F35" s="229">
        <f>+O58+P58</f>
        <v>3094</v>
      </c>
      <c r="G35" s="229">
        <f>+Q58+R58</f>
        <v>3098</v>
      </c>
      <c r="H35" s="230">
        <f>SUM(D35:G35)</f>
        <v>10833</v>
      </c>
      <c r="J35" s="174" t="s">
        <v>200</v>
      </c>
      <c r="K35" s="152"/>
      <c r="L35" s="152">
        <v>122</v>
      </c>
      <c r="M35" s="152">
        <v>122</v>
      </c>
      <c r="N35" s="152">
        <v>122</v>
      </c>
      <c r="O35" s="152">
        <v>124</v>
      </c>
      <c r="P35" s="152">
        <v>124</v>
      </c>
      <c r="Q35" s="152">
        <v>124</v>
      </c>
      <c r="R35" s="152">
        <v>124</v>
      </c>
      <c r="S35" s="295">
        <f>SUM(K35:R35)</f>
        <v>862</v>
      </c>
      <c r="U35" s="54">
        <f t="shared" si="11"/>
        <v>122</v>
      </c>
      <c r="V35" s="54">
        <f t="shared" si="12"/>
        <v>244</v>
      </c>
      <c r="W35" s="54">
        <f t="shared" si="13"/>
        <v>248</v>
      </c>
      <c r="X35" s="54">
        <f t="shared" si="14"/>
        <v>248</v>
      </c>
      <c r="Y35" s="54">
        <f t="shared" si="15"/>
        <v>862</v>
      </c>
    </row>
    <row r="36" spans="2:26" ht="29.25" thickBot="1" x14ac:dyDescent="0.3">
      <c r="B36" s="226" t="s">
        <v>237</v>
      </c>
      <c r="C36" s="226"/>
      <c r="D36" s="229">
        <f>+K59+L59</f>
        <v>285</v>
      </c>
      <c r="E36" s="229">
        <f>+M59+N59</f>
        <v>572</v>
      </c>
      <c r="F36" s="229">
        <f>+O59+P59</f>
        <v>572</v>
      </c>
      <c r="G36" s="229">
        <f>+Q59+R59</f>
        <v>571</v>
      </c>
      <c r="H36" s="230">
        <f>SUM(D36:G36)</f>
        <v>2000</v>
      </c>
      <c r="J36" s="174" t="s">
        <v>272</v>
      </c>
      <c r="K36" s="152"/>
      <c r="L36" s="152">
        <v>405</v>
      </c>
      <c r="M36" s="152">
        <v>405</v>
      </c>
      <c r="N36" s="152"/>
      <c r="O36" s="152"/>
      <c r="P36" s="152"/>
      <c r="Q36" s="152"/>
      <c r="R36" s="152"/>
      <c r="S36" s="295">
        <f>SUM(K36:R36)</f>
        <v>810</v>
      </c>
      <c r="U36" s="54">
        <f t="shared" si="11"/>
        <v>405</v>
      </c>
      <c r="V36" s="54">
        <f t="shared" si="12"/>
        <v>405</v>
      </c>
      <c r="W36" s="54">
        <f t="shared" si="13"/>
        <v>0</v>
      </c>
      <c r="X36" s="54">
        <f t="shared" si="14"/>
        <v>0</v>
      </c>
      <c r="Y36" s="54">
        <f t="shared" si="15"/>
        <v>810</v>
      </c>
    </row>
    <row r="37" spans="2:26" ht="34.5" customHeight="1" thickBot="1" x14ac:dyDescent="0.3">
      <c r="B37" s="226" t="s">
        <v>244</v>
      </c>
      <c r="C37" s="226"/>
      <c r="D37" s="229">
        <f>+K64+L64</f>
        <v>1005</v>
      </c>
      <c r="E37" s="229">
        <f>+M64+N64</f>
        <v>768</v>
      </c>
      <c r="F37" s="229">
        <f>+O64+P64</f>
        <v>200</v>
      </c>
      <c r="G37" s="229">
        <f>+Q64+R64</f>
        <v>0</v>
      </c>
      <c r="H37" s="230">
        <f t="shared" ref="H37" si="18">SUM(D37:G37)</f>
        <v>1973</v>
      </c>
      <c r="S37" s="71"/>
      <c r="Y37" s="54">
        <f>SUM(Y35:Y36)</f>
        <v>1672</v>
      </c>
      <c r="Z37" s="20">
        <f>+Y37*1000</f>
        <v>1672000</v>
      </c>
    </row>
    <row r="38" spans="2:26" ht="28.5" x14ac:dyDescent="0.25">
      <c r="B38" s="231" t="s">
        <v>249</v>
      </c>
      <c r="C38" s="232"/>
      <c r="D38" s="233">
        <f>SUM(D35:D37)</f>
        <v>2837</v>
      </c>
      <c r="E38" s="233">
        <f>SUM(E35:E37)</f>
        <v>4434</v>
      </c>
      <c r="F38" s="233">
        <f>SUM(F35:F37)</f>
        <v>3866</v>
      </c>
      <c r="G38" s="233">
        <f>SUM(G35:G37)</f>
        <v>3669</v>
      </c>
      <c r="H38" s="230">
        <f>SUM(D38:G38)</f>
        <v>14806</v>
      </c>
      <c r="J38" s="1" t="s">
        <v>74</v>
      </c>
      <c r="K38" s="2" t="s">
        <v>210</v>
      </c>
      <c r="L38" s="2" t="s">
        <v>213</v>
      </c>
      <c r="M38" s="2" t="s">
        <v>212</v>
      </c>
      <c r="N38" s="2" t="s">
        <v>214</v>
      </c>
      <c r="O38" s="2" t="s">
        <v>215</v>
      </c>
      <c r="P38" s="2" t="s">
        <v>216</v>
      </c>
      <c r="Q38" s="2" t="s">
        <v>217</v>
      </c>
      <c r="R38" s="3" t="s">
        <v>211</v>
      </c>
      <c r="S38" s="4" t="s">
        <v>22</v>
      </c>
    </row>
    <row r="39" spans="2:26" ht="30" customHeight="1" thickBot="1" x14ac:dyDescent="0.3">
      <c r="B39" s="53"/>
      <c r="C39" s="53"/>
      <c r="D39" s="228"/>
      <c r="E39" s="187"/>
      <c r="F39" s="228"/>
      <c r="G39" s="228"/>
      <c r="H39" s="228"/>
      <c r="J39" s="175" t="s">
        <v>179</v>
      </c>
      <c r="K39" s="204"/>
      <c r="L39" s="204">
        <v>309</v>
      </c>
      <c r="M39" s="204">
        <v>310</v>
      </c>
      <c r="N39" s="204">
        <v>309</v>
      </c>
      <c r="O39" s="204">
        <v>309</v>
      </c>
      <c r="P39" s="204">
        <v>309</v>
      </c>
      <c r="Q39" s="204">
        <v>309</v>
      </c>
      <c r="R39" s="204">
        <v>309</v>
      </c>
      <c r="S39" s="204">
        <f>SUM(L39:R39)</f>
        <v>2164</v>
      </c>
      <c r="U39" s="54">
        <f t="shared" ref="U39" si="19">+K39+L39</f>
        <v>309</v>
      </c>
      <c r="V39" s="54">
        <f t="shared" ref="V39" si="20">+M39+N39</f>
        <v>619</v>
      </c>
      <c r="W39" s="54">
        <f t="shared" ref="W39" si="21">+O39+P39</f>
        <v>618</v>
      </c>
      <c r="X39" s="54">
        <f t="shared" ref="X39" si="22">+Q39+R39</f>
        <v>618</v>
      </c>
      <c r="Y39" s="54">
        <f t="shared" ref="Y39" si="23">SUM(U39:X39)</f>
        <v>2164</v>
      </c>
    </row>
    <row r="40" spans="2:26" x14ac:dyDescent="0.25">
      <c r="B40" s="53"/>
      <c r="C40" s="53"/>
      <c r="D40" s="228"/>
      <c r="E40" s="228"/>
      <c r="F40" s="228"/>
      <c r="G40" s="228"/>
      <c r="H40" s="228"/>
    </row>
    <row r="41" spans="2:26" ht="30" customHeight="1" thickBot="1" x14ac:dyDescent="0.3">
      <c r="B41" s="53"/>
      <c r="C41" s="53"/>
      <c r="D41" s="228"/>
      <c r="E41" s="228"/>
      <c r="F41" s="228"/>
      <c r="G41" s="228"/>
      <c r="H41" s="228"/>
      <c r="J41" s="323" t="s">
        <v>255</v>
      </c>
      <c r="K41" s="324"/>
      <c r="L41" s="324"/>
      <c r="M41" s="324"/>
      <c r="N41" s="324"/>
      <c r="O41" s="324"/>
      <c r="P41" s="324"/>
      <c r="Q41" s="324"/>
      <c r="R41" s="324"/>
      <c r="S41" s="324"/>
    </row>
    <row r="42" spans="2:26" ht="18.75" customHeight="1" x14ac:dyDescent="0.25">
      <c r="B42" s="53"/>
      <c r="C42" s="53"/>
      <c r="D42" s="228"/>
      <c r="E42" s="228"/>
      <c r="F42" s="228"/>
      <c r="G42" s="228"/>
      <c r="H42" s="228"/>
      <c r="J42" s="223" t="s">
        <v>92</v>
      </c>
      <c r="K42" s="212">
        <v>2018</v>
      </c>
      <c r="L42" s="317">
        <v>2019</v>
      </c>
      <c r="M42" s="317"/>
      <c r="N42" s="317">
        <v>2020</v>
      </c>
      <c r="O42" s="317"/>
      <c r="P42" s="317">
        <v>2021</v>
      </c>
      <c r="Q42" s="317"/>
      <c r="R42" s="213">
        <v>2022</v>
      </c>
      <c r="S42" s="325" t="s">
        <v>22</v>
      </c>
    </row>
    <row r="43" spans="2:26" ht="21.75" customHeight="1" x14ac:dyDescent="0.25">
      <c r="B43" s="53"/>
      <c r="C43" s="53"/>
      <c r="D43" s="228"/>
      <c r="E43" s="228"/>
      <c r="F43" s="228"/>
      <c r="G43" s="228"/>
      <c r="H43" s="228"/>
      <c r="J43" s="223"/>
      <c r="K43" s="212" t="s">
        <v>234</v>
      </c>
      <c r="L43" s="212" t="s">
        <v>235</v>
      </c>
      <c r="M43" s="212" t="s">
        <v>234</v>
      </c>
      <c r="N43" s="212" t="s">
        <v>235</v>
      </c>
      <c r="O43" s="212" t="s">
        <v>234</v>
      </c>
      <c r="P43" s="212" t="s">
        <v>235</v>
      </c>
      <c r="Q43" s="212" t="s">
        <v>234</v>
      </c>
      <c r="R43" s="213" t="s">
        <v>235</v>
      </c>
      <c r="S43" s="326"/>
    </row>
    <row r="44" spans="2:26" x14ac:dyDescent="0.25">
      <c r="B44" s="53"/>
      <c r="C44" s="53"/>
      <c r="D44" s="228"/>
      <c r="E44" s="228"/>
      <c r="F44" s="228"/>
      <c r="G44" s="228"/>
      <c r="H44" s="228"/>
      <c r="J44" s="214" t="s">
        <v>236</v>
      </c>
      <c r="K44" s="215"/>
      <c r="L44" s="215">
        <v>396</v>
      </c>
      <c r="M44" s="215">
        <v>396</v>
      </c>
      <c r="N44" s="215">
        <v>396</v>
      </c>
      <c r="O44" s="215">
        <v>396</v>
      </c>
      <c r="P44" s="215">
        <v>396</v>
      </c>
      <c r="Q44" s="215">
        <v>396</v>
      </c>
      <c r="R44" s="215">
        <v>396</v>
      </c>
      <c r="S44" s="216">
        <f>SUM(K44:R44)</f>
        <v>2772</v>
      </c>
      <c r="U44" s="54">
        <f t="shared" ref="U44:U53" si="24">+K44+L44</f>
        <v>396</v>
      </c>
      <c r="V44" s="54">
        <f t="shared" ref="V44:V53" si="25">+M44+N44</f>
        <v>792</v>
      </c>
      <c r="W44" s="54">
        <f t="shared" ref="W44:W53" si="26">+O44+P44</f>
        <v>792</v>
      </c>
      <c r="X44" s="54">
        <f t="shared" ref="X44:X53" si="27">+Q44+R44</f>
        <v>792</v>
      </c>
      <c r="Y44" s="54">
        <f t="shared" ref="Y44:Y53" si="28">SUM(U44:X44)</f>
        <v>2772</v>
      </c>
    </row>
    <row r="45" spans="2:26" x14ac:dyDescent="0.25">
      <c r="D45" s="228"/>
      <c r="E45" s="228"/>
      <c r="F45" s="228"/>
      <c r="G45" s="228"/>
      <c r="J45" s="214" t="s">
        <v>237</v>
      </c>
      <c r="K45" s="215"/>
      <c r="L45" s="215">
        <v>145</v>
      </c>
      <c r="M45" s="215">
        <v>147</v>
      </c>
      <c r="N45" s="215">
        <v>147</v>
      </c>
      <c r="O45" s="215">
        <v>147</v>
      </c>
      <c r="P45" s="215">
        <v>147</v>
      </c>
      <c r="Q45" s="215">
        <v>147</v>
      </c>
      <c r="R45" s="215">
        <v>147</v>
      </c>
      <c r="S45" s="216">
        <f t="shared" ref="S45:S53" si="29">SUM(K45:R45)</f>
        <v>1027</v>
      </c>
      <c r="U45" s="54">
        <f t="shared" si="24"/>
        <v>145</v>
      </c>
      <c r="V45" s="54">
        <f t="shared" si="25"/>
        <v>294</v>
      </c>
      <c r="W45" s="54">
        <f t="shared" si="26"/>
        <v>294</v>
      </c>
      <c r="X45" s="54">
        <f t="shared" si="27"/>
        <v>294</v>
      </c>
      <c r="Y45" s="54">
        <f t="shared" si="28"/>
        <v>1027</v>
      </c>
    </row>
    <row r="46" spans="2:26" x14ac:dyDescent="0.25">
      <c r="D46" s="228"/>
      <c r="E46" s="228"/>
      <c r="F46" s="228"/>
      <c r="G46" s="228"/>
      <c r="J46" s="217" t="s">
        <v>238</v>
      </c>
      <c r="K46" s="215">
        <f>SUM(K44:K45)</f>
        <v>0</v>
      </c>
      <c r="L46" s="215">
        <f t="shared" ref="L46:R46" si="30">SUM(L44:L45)</f>
        <v>541</v>
      </c>
      <c r="M46" s="215">
        <f t="shared" si="30"/>
        <v>543</v>
      </c>
      <c r="N46" s="215">
        <f t="shared" si="30"/>
        <v>543</v>
      </c>
      <c r="O46" s="215">
        <f t="shared" si="30"/>
        <v>543</v>
      </c>
      <c r="P46" s="215">
        <f t="shared" si="30"/>
        <v>543</v>
      </c>
      <c r="Q46" s="215">
        <f t="shared" si="30"/>
        <v>543</v>
      </c>
      <c r="R46" s="215">
        <f t="shared" si="30"/>
        <v>543</v>
      </c>
      <c r="S46" s="216">
        <f t="shared" si="29"/>
        <v>3799</v>
      </c>
      <c r="U46" s="54">
        <f t="shared" si="24"/>
        <v>541</v>
      </c>
      <c r="V46" s="54">
        <f t="shared" si="25"/>
        <v>1086</v>
      </c>
      <c r="W46" s="54">
        <f t="shared" si="26"/>
        <v>1086</v>
      </c>
      <c r="X46" s="54">
        <f t="shared" si="27"/>
        <v>1086</v>
      </c>
      <c r="Y46" s="54">
        <f t="shared" si="28"/>
        <v>3799</v>
      </c>
    </row>
    <row r="47" spans="2:26" x14ac:dyDescent="0.25">
      <c r="D47" s="228"/>
      <c r="E47" s="228"/>
      <c r="F47" s="228"/>
      <c r="G47" s="228"/>
      <c r="J47" s="217" t="s">
        <v>203</v>
      </c>
      <c r="K47" s="215"/>
      <c r="L47" s="215">
        <v>580</v>
      </c>
      <c r="M47" s="215">
        <v>580</v>
      </c>
      <c r="N47" s="215">
        <v>578</v>
      </c>
      <c r="O47" s="215">
        <v>578</v>
      </c>
      <c r="P47" s="215">
        <v>578</v>
      </c>
      <c r="Q47" s="215">
        <v>578</v>
      </c>
      <c r="R47" s="215">
        <v>578</v>
      </c>
      <c r="S47" s="216">
        <f t="shared" si="29"/>
        <v>4050</v>
      </c>
      <c r="U47" s="54">
        <f t="shared" si="24"/>
        <v>580</v>
      </c>
      <c r="V47" s="54">
        <f t="shared" si="25"/>
        <v>1158</v>
      </c>
      <c r="W47" s="54">
        <f t="shared" si="26"/>
        <v>1156</v>
      </c>
      <c r="X47" s="54">
        <f t="shared" si="27"/>
        <v>1156</v>
      </c>
      <c r="Y47" s="54">
        <f t="shared" si="28"/>
        <v>4050</v>
      </c>
    </row>
    <row r="48" spans="2:26" x14ac:dyDescent="0.25">
      <c r="D48" s="228"/>
      <c r="E48" s="228"/>
      <c r="F48" s="228"/>
      <c r="G48" s="228"/>
      <c r="J48" s="214" t="s">
        <v>239</v>
      </c>
      <c r="K48" s="215"/>
      <c r="L48" s="215">
        <v>1857.432</v>
      </c>
      <c r="M48" s="215">
        <v>125.983</v>
      </c>
      <c r="N48" s="215"/>
      <c r="O48" s="215"/>
      <c r="P48" s="215"/>
      <c r="Q48" s="215"/>
      <c r="R48" s="215"/>
      <c r="S48" s="216">
        <f t="shared" si="29"/>
        <v>1983.415</v>
      </c>
      <c r="U48" s="54">
        <f t="shared" si="24"/>
        <v>1857.432</v>
      </c>
      <c r="V48" s="54">
        <f t="shared" si="25"/>
        <v>125.983</v>
      </c>
      <c r="W48" s="54">
        <f t="shared" si="26"/>
        <v>0</v>
      </c>
      <c r="X48" s="54">
        <f t="shared" si="27"/>
        <v>0</v>
      </c>
      <c r="Y48" s="54">
        <f t="shared" si="28"/>
        <v>1983.415</v>
      </c>
    </row>
    <row r="49" spans="10:25" ht="30" x14ac:dyDescent="0.25">
      <c r="J49" s="255" t="s">
        <v>224</v>
      </c>
      <c r="K49" s="215"/>
      <c r="L49" s="215">
        <v>262.315</v>
      </c>
      <c r="M49" s="215">
        <v>262.315</v>
      </c>
      <c r="N49" s="215"/>
      <c r="O49" s="215"/>
      <c r="P49" s="215"/>
      <c r="Q49" s="215"/>
      <c r="R49" s="215"/>
      <c r="S49" s="216">
        <f t="shared" si="29"/>
        <v>524.63</v>
      </c>
      <c r="U49" s="54">
        <f t="shared" si="24"/>
        <v>262.315</v>
      </c>
      <c r="V49" s="54">
        <f t="shared" si="25"/>
        <v>262.315</v>
      </c>
      <c r="W49" s="54">
        <f t="shared" si="26"/>
        <v>0</v>
      </c>
      <c r="X49" s="54">
        <f t="shared" si="27"/>
        <v>0</v>
      </c>
      <c r="Y49" s="54">
        <f t="shared" si="28"/>
        <v>524.63</v>
      </c>
    </row>
    <row r="50" spans="10:25" ht="33" customHeight="1" x14ac:dyDescent="0.25">
      <c r="J50" s="218" t="s">
        <v>225</v>
      </c>
      <c r="K50" s="215"/>
      <c r="L50" s="215">
        <v>0</v>
      </c>
      <c r="M50" s="215">
        <v>78.997</v>
      </c>
      <c r="N50" s="215">
        <v>78.997</v>
      </c>
      <c r="O50" s="215">
        <v>78.997</v>
      </c>
      <c r="P50" s="215">
        <v>78.997</v>
      </c>
      <c r="Q50" s="215"/>
      <c r="R50" s="215"/>
      <c r="S50" s="216">
        <f t="shared" si="29"/>
        <v>315.988</v>
      </c>
      <c r="U50" s="54">
        <f t="shared" si="24"/>
        <v>0</v>
      </c>
      <c r="V50" s="54">
        <f t="shared" si="25"/>
        <v>157.994</v>
      </c>
      <c r="W50" s="54">
        <f t="shared" si="26"/>
        <v>157.994</v>
      </c>
      <c r="X50" s="54">
        <f t="shared" si="27"/>
        <v>0</v>
      </c>
      <c r="Y50" s="54">
        <f t="shared" si="28"/>
        <v>315.988</v>
      </c>
    </row>
    <row r="51" spans="10:25" x14ac:dyDescent="0.25">
      <c r="J51" s="218" t="s">
        <v>240</v>
      </c>
      <c r="K51" s="215"/>
      <c r="L51" s="215"/>
      <c r="M51" s="215">
        <v>811.61617499999988</v>
      </c>
      <c r="N51" s="215"/>
      <c r="O51" s="215">
        <v>811.61617499999988</v>
      </c>
      <c r="P51" s="215"/>
      <c r="Q51" s="215">
        <v>811.61617499999988</v>
      </c>
      <c r="R51" s="215">
        <v>811.61617499999988</v>
      </c>
      <c r="S51" s="216">
        <f t="shared" si="29"/>
        <v>3246.4646999999995</v>
      </c>
      <c r="U51" s="54">
        <f t="shared" si="24"/>
        <v>0</v>
      </c>
      <c r="V51" s="54">
        <f t="shared" si="25"/>
        <v>811.61617499999988</v>
      </c>
      <c r="W51" s="54">
        <f t="shared" si="26"/>
        <v>811.61617499999988</v>
      </c>
      <c r="X51" s="54">
        <f t="shared" si="27"/>
        <v>1623.2323499999998</v>
      </c>
      <c r="Y51" s="54">
        <f t="shared" si="28"/>
        <v>3246.4646999999995</v>
      </c>
    </row>
    <row r="52" spans="10:25" x14ac:dyDescent="0.25">
      <c r="J52" s="219" t="s">
        <v>241</v>
      </c>
      <c r="K52" s="224">
        <f>SUM(K48:K51)</f>
        <v>0</v>
      </c>
      <c r="L52" s="224">
        <f>SUM(L48:L51)</f>
        <v>2119.7469999999998</v>
      </c>
      <c r="M52" s="224">
        <f t="shared" ref="M52:Q52" si="31">SUM(M48:M51)</f>
        <v>1278.911175</v>
      </c>
      <c r="N52" s="224">
        <f t="shared" si="31"/>
        <v>78.997</v>
      </c>
      <c r="O52" s="224">
        <f t="shared" si="31"/>
        <v>890.61317499999984</v>
      </c>
      <c r="P52" s="224">
        <f t="shared" si="31"/>
        <v>78.997</v>
      </c>
      <c r="Q52" s="224">
        <f t="shared" si="31"/>
        <v>811.61617499999988</v>
      </c>
      <c r="R52" s="224">
        <f>SUM(R48:R51)</f>
        <v>811.61617499999988</v>
      </c>
      <c r="S52" s="225">
        <f t="shared" si="29"/>
        <v>6070.4976999999999</v>
      </c>
      <c r="U52" s="54">
        <f t="shared" si="24"/>
        <v>2119.7469999999998</v>
      </c>
      <c r="V52" s="54">
        <f t="shared" si="25"/>
        <v>1357.908175</v>
      </c>
      <c r="W52" s="54">
        <f t="shared" si="26"/>
        <v>969.6101749999998</v>
      </c>
      <c r="X52" s="54">
        <f t="shared" si="27"/>
        <v>1623.2323499999998</v>
      </c>
      <c r="Y52" s="54">
        <f t="shared" si="28"/>
        <v>6070.4976999999999</v>
      </c>
    </row>
    <row r="53" spans="10:25" ht="15.75" thickBot="1" x14ac:dyDescent="0.3">
      <c r="J53" s="220" t="s">
        <v>22</v>
      </c>
      <c r="K53" s="221">
        <f>+K52+K47+K46</f>
        <v>0</v>
      </c>
      <c r="L53" s="221">
        <f t="shared" ref="L53:R53" si="32">+L52+L47+L46</f>
        <v>3240.7469999999998</v>
      </c>
      <c r="M53" s="221">
        <f t="shared" si="32"/>
        <v>2401.9111750000002</v>
      </c>
      <c r="N53" s="221">
        <f t="shared" si="32"/>
        <v>1199.9969999999998</v>
      </c>
      <c r="O53" s="221">
        <f t="shared" si="32"/>
        <v>2011.613175</v>
      </c>
      <c r="P53" s="221">
        <f t="shared" si="32"/>
        <v>1199.9969999999998</v>
      </c>
      <c r="Q53" s="221">
        <f t="shared" si="32"/>
        <v>1932.6161749999999</v>
      </c>
      <c r="R53" s="221">
        <f t="shared" si="32"/>
        <v>1932.6161749999999</v>
      </c>
      <c r="S53" s="222">
        <f t="shared" si="29"/>
        <v>13919.497699999998</v>
      </c>
      <c r="U53" s="54">
        <f t="shared" si="24"/>
        <v>3240.7469999999998</v>
      </c>
      <c r="V53" s="54">
        <f t="shared" si="25"/>
        <v>3601.908175</v>
      </c>
      <c r="W53" s="54">
        <f t="shared" si="26"/>
        <v>3211.6101749999998</v>
      </c>
      <c r="X53" s="54">
        <f t="shared" si="27"/>
        <v>3865.2323499999998</v>
      </c>
      <c r="Y53" s="54">
        <f t="shared" si="28"/>
        <v>13919.4977</v>
      </c>
    </row>
    <row r="54" spans="10:25" ht="15.75" thickBot="1" x14ac:dyDescent="0.3">
      <c r="J54" s="211"/>
      <c r="K54" s="211"/>
      <c r="L54" s="211"/>
      <c r="M54" s="211"/>
      <c r="N54" s="211"/>
      <c r="O54" s="211"/>
      <c r="P54" s="211"/>
      <c r="Q54" s="211"/>
      <c r="R54" s="211"/>
    </row>
    <row r="55" spans="10:25" ht="20.25" customHeight="1" x14ac:dyDescent="0.25">
      <c r="J55" s="313" t="s">
        <v>242</v>
      </c>
      <c r="K55" s="314"/>
      <c r="L55" s="314"/>
      <c r="M55" s="314"/>
      <c r="N55" s="314"/>
      <c r="O55" s="314"/>
      <c r="P55" s="314"/>
      <c r="Q55" s="314"/>
      <c r="R55" s="315"/>
    </row>
    <row r="56" spans="10:25" ht="20.25" customHeight="1" x14ac:dyDescent="0.25">
      <c r="J56" s="316" t="s">
        <v>92</v>
      </c>
      <c r="K56" s="212">
        <v>2018</v>
      </c>
      <c r="L56" s="317">
        <v>2019</v>
      </c>
      <c r="M56" s="317"/>
      <c r="N56" s="317">
        <v>2020</v>
      </c>
      <c r="O56" s="317"/>
      <c r="P56" s="317">
        <v>2021</v>
      </c>
      <c r="Q56" s="317"/>
      <c r="R56" s="213">
        <v>2022</v>
      </c>
    </row>
    <row r="57" spans="10:25" x14ac:dyDescent="0.25">
      <c r="J57" s="316"/>
      <c r="K57" s="212" t="s">
        <v>234</v>
      </c>
      <c r="L57" s="212" t="s">
        <v>235</v>
      </c>
      <c r="M57" s="212" t="s">
        <v>234</v>
      </c>
      <c r="N57" s="212" t="s">
        <v>235</v>
      </c>
      <c r="O57" s="212" t="s">
        <v>234</v>
      </c>
      <c r="P57" s="212" t="s">
        <v>235</v>
      </c>
      <c r="Q57" s="212" t="s">
        <v>234</v>
      </c>
      <c r="R57" s="213" t="s">
        <v>235</v>
      </c>
    </row>
    <row r="58" spans="10:25" x14ac:dyDescent="0.25">
      <c r="J58" s="214" t="s">
        <v>236</v>
      </c>
      <c r="K58" s="215"/>
      <c r="L58" s="215">
        <v>1547</v>
      </c>
      <c r="M58" s="215">
        <v>1547</v>
      </c>
      <c r="N58" s="215">
        <v>1547</v>
      </c>
      <c r="O58" s="215">
        <v>1547</v>
      </c>
      <c r="P58" s="215">
        <v>1547</v>
      </c>
      <c r="Q58" s="215">
        <v>1548</v>
      </c>
      <c r="R58" s="216">
        <v>1550</v>
      </c>
      <c r="U58" s="54">
        <f t="shared" ref="U58:U65" si="33">+K58+L58</f>
        <v>1547</v>
      </c>
      <c r="V58" s="54">
        <f t="shared" ref="V58:V65" si="34">+M58+N58</f>
        <v>3094</v>
      </c>
      <c r="W58" s="54">
        <f t="shared" ref="W58:W65" si="35">+O58+P58</f>
        <v>3094</v>
      </c>
      <c r="X58" s="54">
        <f t="shared" ref="X58:X65" si="36">+Q58+R58</f>
        <v>3098</v>
      </c>
      <c r="Y58" s="54">
        <f t="shared" ref="Y58:Y65" si="37">SUM(U58:X58)</f>
        <v>10833</v>
      </c>
    </row>
    <row r="59" spans="10:25" x14ac:dyDescent="0.25">
      <c r="J59" s="214" t="s">
        <v>237</v>
      </c>
      <c r="K59" s="215"/>
      <c r="L59" s="215">
        <v>285</v>
      </c>
      <c r="M59" s="215">
        <v>286</v>
      </c>
      <c r="N59" s="215">
        <v>286</v>
      </c>
      <c r="O59" s="215">
        <v>286</v>
      </c>
      <c r="P59" s="215">
        <v>286</v>
      </c>
      <c r="Q59" s="215">
        <v>286</v>
      </c>
      <c r="R59" s="216">
        <v>285</v>
      </c>
      <c r="U59" s="54">
        <f t="shared" si="33"/>
        <v>285</v>
      </c>
      <c r="V59" s="54">
        <f t="shared" si="34"/>
        <v>572</v>
      </c>
      <c r="W59" s="54">
        <f t="shared" si="35"/>
        <v>572</v>
      </c>
      <c r="X59" s="54">
        <f t="shared" si="36"/>
        <v>571</v>
      </c>
      <c r="Y59" s="54">
        <f t="shared" si="37"/>
        <v>2000</v>
      </c>
    </row>
    <row r="60" spans="10:25" x14ac:dyDescent="0.25">
      <c r="J60" s="217" t="s">
        <v>238</v>
      </c>
      <c r="K60" s="215">
        <f>SUM(K58:K59)</f>
        <v>0</v>
      </c>
      <c r="L60" s="215">
        <f t="shared" ref="L60:R60" si="38">SUM(L58:L59)</f>
        <v>1832</v>
      </c>
      <c r="M60" s="215">
        <f t="shared" si="38"/>
        <v>1833</v>
      </c>
      <c r="N60" s="215">
        <f t="shared" si="38"/>
        <v>1833</v>
      </c>
      <c r="O60" s="215">
        <f t="shared" si="38"/>
        <v>1833</v>
      </c>
      <c r="P60" s="215">
        <f t="shared" si="38"/>
        <v>1833</v>
      </c>
      <c r="Q60" s="215">
        <f t="shared" si="38"/>
        <v>1834</v>
      </c>
      <c r="R60" s="216">
        <f t="shared" si="38"/>
        <v>1835</v>
      </c>
      <c r="U60" s="54">
        <f t="shared" si="33"/>
        <v>1832</v>
      </c>
      <c r="V60" s="54">
        <f t="shared" si="34"/>
        <v>3666</v>
      </c>
      <c r="W60" s="54">
        <f t="shared" si="35"/>
        <v>3666</v>
      </c>
      <c r="X60" s="54">
        <f t="shared" si="36"/>
        <v>3669</v>
      </c>
      <c r="Y60" s="54">
        <f t="shared" si="37"/>
        <v>12833</v>
      </c>
    </row>
    <row r="61" spans="10:25" x14ac:dyDescent="0.25">
      <c r="J61" s="214" t="s">
        <v>239</v>
      </c>
      <c r="K61" s="215"/>
      <c r="L61" s="215">
        <v>803</v>
      </c>
      <c r="M61" s="215">
        <v>366</v>
      </c>
      <c r="N61" s="215"/>
      <c r="O61" s="215"/>
      <c r="P61" s="215"/>
      <c r="Q61" s="215"/>
      <c r="R61" s="216"/>
      <c r="U61" s="54">
        <f t="shared" si="33"/>
        <v>803</v>
      </c>
      <c r="V61" s="54">
        <f t="shared" si="34"/>
        <v>366</v>
      </c>
      <c r="W61" s="54">
        <f t="shared" si="35"/>
        <v>0</v>
      </c>
      <c r="X61" s="54">
        <f t="shared" si="36"/>
        <v>0</v>
      </c>
      <c r="Y61" s="54">
        <f t="shared" si="37"/>
        <v>1169</v>
      </c>
    </row>
    <row r="62" spans="10:25" ht="30" x14ac:dyDescent="0.25">
      <c r="J62" s="218" t="s">
        <v>224</v>
      </c>
      <c r="K62" s="215"/>
      <c r="L62" s="215">
        <v>202</v>
      </c>
      <c r="M62" s="215">
        <v>202</v>
      </c>
      <c r="N62" s="215"/>
      <c r="O62" s="215"/>
      <c r="P62" s="215"/>
      <c r="Q62" s="215"/>
      <c r="R62" s="216"/>
      <c r="U62" s="54">
        <f t="shared" si="33"/>
        <v>202</v>
      </c>
      <c r="V62" s="54">
        <f t="shared" si="34"/>
        <v>202</v>
      </c>
      <c r="W62" s="54">
        <f t="shared" si="35"/>
        <v>0</v>
      </c>
      <c r="X62" s="54">
        <f t="shared" si="36"/>
        <v>0</v>
      </c>
      <c r="Y62" s="54">
        <f t="shared" si="37"/>
        <v>404</v>
      </c>
    </row>
    <row r="63" spans="10:25" ht="45" x14ac:dyDescent="0.25">
      <c r="J63" s="218" t="s">
        <v>225</v>
      </c>
      <c r="K63" s="215"/>
      <c r="L63" s="215"/>
      <c r="M63" s="215">
        <v>100</v>
      </c>
      <c r="N63" s="215">
        <v>100</v>
      </c>
      <c r="O63" s="215">
        <v>100</v>
      </c>
      <c r="P63" s="215">
        <v>100</v>
      </c>
      <c r="Q63" s="215"/>
      <c r="R63" s="216"/>
      <c r="U63" s="54">
        <f t="shared" si="33"/>
        <v>0</v>
      </c>
      <c r="V63" s="54">
        <f t="shared" si="34"/>
        <v>200</v>
      </c>
      <c r="W63" s="54">
        <f t="shared" si="35"/>
        <v>200</v>
      </c>
      <c r="X63" s="54">
        <f t="shared" si="36"/>
        <v>0</v>
      </c>
      <c r="Y63" s="54">
        <f t="shared" si="37"/>
        <v>400</v>
      </c>
    </row>
    <row r="64" spans="10:25" x14ac:dyDescent="0.25">
      <c r="J64" s="219" t="s">
        <v>241</v>
      </c>
      <c r="K64" s="215">
        <f t="shared" ref="K64:R64" si="39">SUM(K61:K63)</f>
        <v>0</v>
      </c>
      <c r="L64" s="215">
        <f t="shared" si="39"/>
        <v>1005</v>
      </c>
      <c r="M64" s="215">
        <f t="shared" si="39"/>
        <v>668</v>
      </c>
      <c r="N64" s="215">
        <f t="shared" si="39"/>
        <v>100</v>
      </c>
      <c r="O64" s="215">
        <f t="shared" si="39"/>
        <v>100</v>
      </c>
      <c r="P64" s="215">
        <f t="shared" si="39"/>
        <v>100</v>
      </c>
      <c r="Q64" s="215">
        <f t="shared" si="39"/>
        <v>0</v>
      </c>
      <c r="R64" s="216">
        <f t="shared" si="39"/>
        <v>0</v>
      </c>
      <c r="U64" s="54">
        <f t="shared" si="33"/>
        <v>1005</v>
      </c>
      <c r="V64" s="54">
        <f t="shared" si="34"/>
        <v>768</v>
      </c>
      <c r="W64" s="54">
        <f t="shared" si="35"/>
        <v>200</v>
      </c>
      <c r="X64" s="54">
        <f t="shared" si="36"/>
        <v>0</v>
      </c>
      <c r="Y64" s="54">
        <f t="shared" si="37"/>
        <v>1973</v>
      </c>
    </row>
    <row r="65" spans="10:25" ht="15.75" thickBot="1" x14ac:dyDescent="0.3">
      <c r="J65" s="220" t="s">
        <v>22</v>
      </c>
      <c r="K65" s="221">
        <f t="shared" ref="K65:R65" si="40">+K64+K60</f>
        <v>0</v>
      </c>
      <c r="L65" s="221">
        <f t="shared" si="40"/>
        <v>2837</v>
      </c>
      <c r="M65" s="221">
        <f t="shared" si="40"/>
        <v>2501</v>
      </c>
      <c r="N65" s="221">
        <f t="shared" si="40"/>
        <v>1933</v>
      </c>
      <c r="O65" s="221">
        <f t="shared" si="40"/>
        <v>1933</v>
      </c>
      <c r="P65" s="221">
        <f t="shared" si="40"/>
        <v>1933</v>
      </c>
      <c r="Q65" s="221">
        <f t="shared" si="40"/>
        <v>1834</v>
      </c>
      <c r="R65" s="222">
        <f t="shared" si="40"/>
        <v>1835</v>
      </c>
      <c r="U65" s="54">
        <f t="shared" si="33"/>
        <v>2837</v>
      </c>
      <c r="V65" s="54">
        <f t="shared" si="34"/>
        <v>4434</v>
      </c>
      <c r="W65" s="54">
        <f t="shared" si="35"/>
        <v>3866</v>
      </c>
      <c r="X65" s="54">
        <f t="shared" si="36"/>
        <v>3669</v>
      </c>
      <c r="Y65" s="54">
        <f t="shared" si="37"/>
        <v>14806</v>
      </c>
    </row>
    <row r="84" ht="29.25" customHeight="1" x14ac:dyDescent="0.25"/>
    <row r="85" ht="19.5" customHeight="1" x14ac:dyDescent="0.25"/>
    <row r="86" ht="27" customHeight="1" x14ac:dyDescent="0.25"/>
    <row r="87" ht="19.5" customHeight="1" x14ac:dyDescent="0.25"/>
    <row r="88" ht="19.5" customHeight="1" x14ac:dyDescent="0.25"/>
    <row r="89" ht="18.75" customHeight="1" x14ac:dyDescent="0.25"/>
    <row r="90" ht="18" customHeight="1" x14ac:dyDescent="0.25"/>
    <row r="97" spans="2:18" x14ac:dyDescent="0.25">
      <c r="J97" s="32"/>
      <c r="K97" s="32"/>
      <c r="L97" s="32"/>
      <c r="M97" s="32"/>
      <c r="N97" s="32"/>
      <c r="O97" s="32"/>
      <c r="P97" s="32"/>
      <c r="Q97" s="32"/>
      <c r="R97" s="32"/>
    </row>
    <row r="98" spans="2:18" s="32" customFormat="1" x14ac:dyDescent="0.25">
      <c r="B98" s="20"/>
      <c r="C98" s="20"/>
      <c r="D98" s="20"/>
      <c r="E98" s="20"/>
      <c r="F98" s="20"/>
      <c r="G98" s="20"/>
      <c r="H98" s="20"/>
      <c r="J98" s="20"/>
      <c r="K98" s="20"/>
      <c r="L98" s="20"/>
      <c r="M98" s="20"/>
      <c r="N98" s="20"/>
      <c r="O98" s="20"/>
      <c r="P98" s="20"/>
      <c r="Q98" s="20"/>
      <c r="R98" s="20"/>
    </row>
    <row r="104" spans="2:18" x14ac:dyDescent="0.25">
      <c r="B104" s="32"/>
      <c r="C104" s="32"/>
    </row>
    <row r="106" spans="2:18" x14ac:dyDescent="0.25">
      <c r="D106" s="32"/>
      <c r="E106" s="32"/>
      <c r="F106" s="32"/>
      <c r="G106" s="32"/>
      <c r="H106" s="32"/>
    </row>
  </sheetData>
  <sheetProtection algorithmName="SHA-512" hashValue="fblvedcuzqp4LOUrUL6KDxXbesF/JHu4St7BstmYOahYDFk4GCeNEq79IiiiPStVoqZeF/5bbKushHV3jfySOQ==" saltValue="pwf299rERpz5ztF5E14CPg==" spinCount="100000" sheet="1" objects="1" scenarios="1"/>
  <mergeCells count="15">
    <mergeCell ref="J5:S5"/>
    <mergeCell ref="L42:M42"/>
    <mergeCell ref="N42:O42"/>
    <mergeCell ref="P42:Q42"/>
    <mergeCell ref="J21:S21"/>
    <mergeCell ref="J41:S41"/>
    <mergeCell ref="S42:S43"/>
    <mergeCell ref="B6:C6"/>
    <mergeCell ref="B15:C15"/>
    <mergeCell ref="B19:C19"/>
    <mergeCell ref="J55:R55"/>
    <mergeCell ref="J56:J57"/>
    <mergeCell ref="L56:M56"/>
    <mergeCell ref="N56:O56"/>
    <mergeCell ref="P56:Q56"/>
  </mergeCells>
  <phoneticPr fontId="0" type="noConversion"/>
  <conditionalFormatting sqref="J44:J45 J46:Q47">
    <cfRule type="expression" dxfId="29" priority="24" stopIfTrue="1">
      <formula>($AL55=1)</formula>
    </cfRule>
  </conditionalFormatting>
  <conditionalFormatting sqref="J48:Q48">
    <cfRule type="expression" dxfId="28" priority="23" stopIfTrue="1">
      <formula>($AL57=1)</formula>
    </cfRule>
  </conditionalFormatting>
  <conditionalFormatting sqref="J58:R59">
    <cfRule type="expression" dxfId="27" priority="25" stopIfTrue="1">
      <formula>($AL68=1)</formula>
    </cfRule>
  </conditionalFormatting>
  <conditionalFormatting sqref="K61:R61">
    <cfRule type="expression" dxfId="26" priority="26" stopIfTrue="1">
      <formula>($AL70=1)</formula>
    </cfRule>
  </conditionalFormatting>
  <conditionalFormatting sqref="J60:Q60">
    <cfRule type="expression" dxfId="25" priority="22" stopIfTrue="1">
      <formula>($AL72=1)</formula>
    </cfRule>
  </conditionalFormatting>
  <conditionalFormatting sqref="R60">
    <cfRule type="expression" dxfId="24" priority="21" stopIfTrue="1">
      <formula>($AL70=1)</formula>
    </cfRule>
  </conditionalFormatting>
  <conditionalFormatting sqref="J49:Q49">
    <cfRule type="expression" dxfId="23" priority="27" stopIfTrue="1">
      <formula>(#REF!=1)</formula>
    </cfRule>
  </conditionalFormatting>
  <conditionalFormatting sqref="J50:Q50 J51 J64:R64 J52:Q52">
    <cfRule type="expression" dxfId="22" priority="28" stopIfTrue="1">
      <formula>(#REF!=1)</formula>
    </cfRule>
  </conditionalFormatting>
  <conditionalFormatting sqref="K62:R62">
    <cfRule type="expression" dxfId="21" priority="29" stopIfTrue="1">
      <formula>(#REF!=1)</formula>
    </cfRule>
  </conditionalFormatting>
  <conditionalFormatting sqref="K63:R63">
    <cfRule type="expression" dxfId="20" priority="30" stopIfTrue="1">
      <formula>(#REF!=1)</formula>
    </cfRule>
  </conditionalFormatting>
  <conditionalFormatting sqref="K44:L45">
    <cfRule type="expression" dxfId="19" priority="20" stopIfTrue="1">
      <formula>($AL55=1)</formula>
    </cfRule>
  </conditionalFormatting>
  <conditionalFormatting sqref="K51:Q51">
    <cfRule type="expression" dxfId="18" priority="19" stopIfTrue="1">
      <formula>(#REF!=1)</formula>
    </cfRule>
  </conditionalFormatting>
  <conditionalFormatting sqref="J61">
    <cfRule type="expression" dxfId="17" priority="16" stopIfTrue="1">
      <formula>($AL71=1)</formula>
    </cfRule>
  </conditionalFormatting>
  <conditionalFormatting sqref="J62">
    <cfRule type="expression" dxfId="16" priority="17" stopIfTrue="1">
      <formula>(#REF!=1)</formula>
    </cfRule>
  </conditionalFormatting>
  <conditionalFormatting sqref="J63">
    <cfRule type="expression" dxfId="15" priority="18" stopIfTrue="1">
      <formula>(#REF!=1)</formula>
    </cfRule>
  </conditionalFormatting>
  <conditionalFormatting sqref="M44:Q44">
    <cfRule type="expression" dxfId="14" priority="15" stopIfTrue="1">
      <formula>($AL55=1)</formula>
    </cfRule>
  </conditionalFormatting>
  <conditionalFormatting sqref="M45:Q45">
    <cfRule type="expression" dxfId="13" priority="14" stopIfTrue="1">
      <formula>($AL56=1)</formula>
    </cfRule>
  </conditionalFormatting>
  <conditionalFormatting sqref="S46:S47">
    <cfRule type="expression" dxfId="12" priority="11" stopIfTrue="1">
      <formula>($AL57=1)</formula>
    </cfRule>
  </conditionalFormatting>
  <conditionalFormatting sqref="S48">
    <cfRule type="expression" dxfId="11" priority="10" stopIfTrue="1">
      <formula>($AL57=1)</formula>
    </cfRule>
  </conditionalFormatting>
  <conditionalFormatting sqref="S49">
    <cfRule type="expression" dxfId="10" priority="12" stopIfTrue="1">
      <formula>(#REF!=1)</formula>
    </cfRule>
  </conditionalFormatting>
  <conditionalFormatting sqref="S50:S52">
    <cfRule type="expression" dxfId="9" priority="13" stopIfTrue="1">
      <formula>(#REF!=1)</formula>
    </cfRule>
  </conditionalFormatting>
  <conditionalFormatting sqref="S44">
    <cfRule type="expression" dxfId="8" priority="9" stopIfTrue="1">
      <formula>($AL55=1)</formula>
    </cfRule>
  </conditionalFormatting>
  <conditionalFormatting sqref="S45">
    <cfRule type="expression" dxfId="7" priority="8" stopIfTrue="1">
      <formula>($AL56=1)</formula>
    </cfRule>
  </conditionalFormatting>
  <conditionalFormatting sqref="R46:R47">
    <cfRule type="expression" dxfId="6" priority="5" stopIfTrue="1">
      <formula>($AL57=1)</formula>
    </cfRule>
  </conditionalFormatting>
  <conditionalFormatting sqref="R48">
    <cfRule type="expression" dxfId="5" priority="4" stopIfTrue="1">
      <formula>($AL57=1)</formula>
    </cfRule>
  </conditionalFormatting>
  <conditionalFormatting sqref="R49">
    <cfRule type="expression" dxfId="4" priority="6" stopIfTrue="1">
      <formula>(#REF!=1)</formula>
    </cfRule>
  </conditionalFormatting>
  <conditionalFormatting sqref="R50 R52">
    <cfRule type="expression" dxfId="3" priority="7" stopIfTrue="1">
      <formula>(#REF!=1)</formula>
    </cfRule>
  </conditionalFormatting>
  <conditionalFormatting sqref="R51">
    <cfRule type="expression" dxfId="2" priority="3" stopIfTrue="1">
      <formula>(#REF!=1)</formula>
    </cfRule>
  </conditionalFormatting>
  <conditionalFormatting sqref="R44">
    <cfRule type="expression" dxfId="1" priority="2" stopIfTrue="1">
      <formula>($AL55=1)</formula>
    </cfRule>
  </conditionalFormatting>
  <conditionalFormatting sqref="R45">
    <cfRule type="expression" dxfId="0" priority="1" stopIfTrue="1">
      <formula>($AL56=1)</formula>
    </cfRule>
  </conditionalFormatting>
  <pageMargins left="0.74803149606299213" right="0.74803149606299213" top="0.51181102362204722" bottom="0.28000000000000003" header="0.39370078740157483" footer="0"/>
  <pageSetup scale="30" orientation="landscape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  <rowBreaks count="1" manualBreakCount="1">
    <brk id="48" max="16383" man="1"/>
  </rowBreaks>
  <colBreaks count="1" manualBreakCount="1">
    <brk id="9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L39"/>
  <sheetViews>
    <sheetView zoomScaleNormal="100" workbookViewId="0"/>
  </sheetViews>
  <sheetFormatPr baseColWidth="10" defaultColWidth="11.42578125" defaultRowHeight="15" x14ac:dyDescent="0.25"/>
  <cols>
    <col min="1" max="1" width="2.7109375" style="20" customWidth="1"/>
    <col min="2" max="2" width="40.42578125" style="20" bestFit="1" customWidth="1"/>
    <col min="3" max="3" width="11.140625" style="20" customWidth="1"/>
    <col min="4" max="4" width="15.28515625" style="20" customWidth="1"/>
    <col min="5" max="5" width="13.5703125" style="20" customWidth="1"/>
    <col min="6" max="6" width="16.140625" style="20" customWidth="1"/>
    <col min="7" max="10" width="15.7109375" style="20" bestFit="1" customWidth="1"/>
    <col min="11" max="16384" width="11.42578125" style="20"/>
  </cols>
  <sheetData>
    <row r="2" spans="2:10" x14ac:dyDescent="0.25">
      <c r="B2" s="53" t="s">
        <v>105</v>
      </c>
    </row>
    <row r="4" spans="2:10" x14ac:dyDescent="0.25">
      <c r="B4" s="32" t="s">
        <v>17</v>
      </c>
    </row>
    <row r="5" spans="2:10" x14ac:dyDescent="0.25">
      <c r="B5" s="20" t="s">
        <v>72</v>
      </c>
    </row>
    <row r="6" spans="2:10" ht="15.75" thickBot="1" x14ac:dyDescent="0.3"/>
    <row r="7" spans="2:10" ht="28.5" x14ac:dyDescent="0.25">
      <c r="B7" s="261" t="s">
        <v>50</v>
      </c>
      <c r="C7" s="261"/>
      <c r="D7" s="176" t="s">
        <v>204</v>
      </c>
      <c r="E7" s="177" t="s">
        <v>65</v>
      </c>
      <c r="F7" s="176" t="s">
        <v>62</v>
      </c>
      <c r="G7" s="234" t="s">
        <v>164</v>
      </c>
      <c r="H7" s="234" t="s">
        <v>165</v>
      </c>
      <c r="I7" s="234" t="s">
        <v>166</v>
      </c>
      <c r="J7" s="234" t="s">
        <v>167</v>
      </c>
    </row>
    <row r="8" spans="2:10" x14ac:dyDescent="0.25">
      <c r="B8" s="72"/>
      <c r="C8" s="72"/>
      <c r="D8" s="178"/>
      <c r="E8" s="179"/>
      <c r="F8" s="179"/>
      <c r="G8" s="180"/>
      <c r="H8" s="180"/>
      <c r="I8" s="180"/>
      <c r="J8" s="180"/>
    </row>
    <row r="9" spans="2:10" x14ac:dyDescent="0.25">
      <c r="B9" s="72" t="s">
        <v>148</v>
      </c>
      <c r="C9" s="72" t="s">
        <v>45</v>
      </c>
      <c r="D9" s="256">
        <v>614467.51748527237</v>
      </c>
      <c r="E9" s="257">
        <v>0.97</v>
      </c>
      <c r="F9" s="256">
        <f>D9*E9</f>
        <v>596033.49196071422</v>
      </c>
      <c r="G9" s="181">
        <f>+F9+INVERSIONES!D8</f>
        <v>637917.50262440636</v>
      </c>
      <c r="H9" s="181">
        <f>+G9+INVERSIONES!E8</f>
        <v>688398.48902241816</v>
      </c>
      <c r="I9" s="181">
        <f>+H9+INVERSIONES!F8</f>
        <v>728430.45746519812</v>
      </c>
      <c r="J9" s="181">
        <f>+I9+INVERSIONES!G8</f>
        <v>763349.98848772771</v>
      </c>
    </row>
    <row r="10" spans="2:10" x14ac:dyDescent="0.25">
      <c r="B10" s="72" t="s">
        <v>147</v>
      </c>
      <c r="C10" s="72" t="s">
        <v>46</v>
      </c>
      <c r="D10" s="256">
        <v>74218.494667011648</v>
      </c>
      <c r="E10" s="257">
        <f>E9</f>
        <v>0.97</v>
      </c>
      <c r="F10" s="256">
        <f>D10*E10</f>
        <v>71991.93982700129</v>
      </c>
      <c r="G10" s="181">
        <f>+F10+INVERSIONES!D9</f>
        <v>74563.386105301513</v>
      </c>
      <c r="H10" s="181">
        <f>+G10+INVERSIONES!E9</f>
        <v>77320.975469204321</v>
      </c>
      <c r="I10" s="181">
        <f>+H10+INVERSIONES!F9</f>
        <v>79743.720363582819</v>
      </c>
      <c r="J10" s="181">
        <f>+I10+INVERSIONES!G9</f>
        <v>82234.696372373321</v>
      </c>
    </row>
    <row r="11" spans="2:10" x14ac:dyDescent="0.25">
      <c r="B11" s="72" t="s">
        <v>149</v>
      </c>
      <c r="C11" s="72" t="s">
        <v>51</v>
      </c>
      <c r="D11" s="256">
        <v>24003.022404200001</v>
      </c>
      <c r="E11" s="257">
        <f>E9</f>
        <v>0.97</v>
      </c>
      <c r="F11" s="256">
        <f>D11*E11</f>
        <v>23282.931732074001</v>
      </c>
      <c r="G11" s="181">
        <f>+F11+INVERSIONES!D10</f>
        <v>26523.678732074</v>
      </c>
      <c r="H11" s="181">
        <f>+G11+INVERSIONES!E10</f>
        <v>30125.586907074001</v>
      </c>
      <c r="I11" s="181">
        <f>+H11+INVERSIONES!F10</f>
        <v>33337.197082074003</v>
      </c>
      <c r="J11" s="181">
        <f>+I11+INVERSIONES!G10</f>
        <v>37202.429432074001</v>
      </c>
    </row>
    <row r="12" spans="2:10" x14ac:dyDescent="0.25">
      <c r="B12" s="72"/>
      <c r="C12" s="72"/>
      <c r="D12" s="258">
        <f>SUM(D9:D11)</f>
        <v>712689.03455648408</v>
      </c>
      <c r="E12" s="257"/>
      <c r="F12" s="258">
        <f>SUM(F9:F11)</f>
        <v>691308.36351978953</v>
      </c>
      <c r="G12" s="182"/>
      <c r="H12" s="182"/>
      <c r="I12" s="182"/>
      <c r="J12" s="183"/>
    </row>
    <row r="13" spans="2:10" x14ac:dyDescent="0.25">
      <c r="B13" s="184"/>
      <c r="C13" s="184"/>
      <c r="D13" s="256"/>
      <c r="E13" s="259"/>
      <c r="F13" s="260"/>
      <c r="G13" s="181"/>
      <c r="H13" s="181"/>
      <c r="I13" s="181"/>
      <c r="J13" s="181"/>
    </row>
    <row r="14" spans="2:10" x14ac:dyDescent="0.25">
      <c r="B14" s="72" t="s">
        <v>47</v>
      </c>
      <c r="C14" s="72" t="s">
        <v>49</v>
      </c>
      <c r="D14" s="256">
        <v>370935.35556192131</v>
      </c>
      <c r="E14" s="257">
        <f>E9</f>
        <v>0.97</v>
      </c>
      <c r="F14" s="256">
        <f>D14*E14</f>
        <v>359807.29489506368</v>
      </c>
      <c r="G14" s="181">
        <f>F14+(G9-F9)-((G9-F9)/2+F9)*'PERDIDAS y OTROS'!E$12</f>
        <v>380097.16315351619</v>
      </c>
      <c r="H14" s="181">
        <f>G14+(H9-G9)-((H9-G9)/2+G9)*'PERDIDAS y OTROS'!F$12</f>
        <v>407367.61969770858</v>
      </c>
      <c r="I14" s="181">
        <f>H14+(I9-H9)-((I9-H9)/2+H9)*'PERDIDAS y OTROS'!G$12</f>
        <v>422605.08157695527</v>
      </c>
      <c r="J14" s="181">
        <f>I14+(J9-I9)-((J9-I9)/2+I9)*'PERDIDAS y OTROS'!H$12</f>
        <v>431418.45479530864</v>
      </c>
    </row>
    <row r="15" spans="2:10" x14ac:dyDescent="0.25">
      <c r="B15" s="72" t="s">
        <v>146</v>
      </c>
      <c r="C15" s="72" t="s">
        <v>48</v>
      </c>
      <c r="D15" s="256">
        <v>53650.267124026672</v>
      </c>
      <c r="E15" s="257">
        <f>E9</f>
        <v>0.97</v>
      </c>
      <c r="F15" s="256">
        <f>D15*E15</f>
        <v>52040.759110305873</v>
      </c>
      <c r="G15" s="181">
        <f>F15+(G10-F10)-((G10-F10)/2+F10)*'PERDIDAS y OTROS'!E$13</f>
        <v>51131.516397713902</v>
      </c>
      <c r="H15" s="181">
        <f>G15+(H10-G10)-((H10-G10)/2+G10)*'PERDIDAS y OTROS'!F$13</f>
        <v>50281.852174222193</v>
      </c>
      <c r="I15" s="181">
        <f>H15+(I10-H10)-((I10-H10)/2+H10)*'PERDIDAS y OTROS'!G$13</f>
        <v>48974.310542571999</v>
      </c>
      <c r="J15" s="181">
        <f>I15+(J10-I10)-((J10-I10)/2+I10)*'PERDIDAS y OTROS'!H$13</f>
        <v>47618.299153883541</v>
      </c>
    </row>
    <row r="16" spans="2:10" x14ac:dyDescent="0.25">
      <c r="B16" s="72" t="s">
        <v>150</v>
      </c>
      <c r="C16" s="72" t="s">
        <v>52</v>
      </c>
      <c r="D16" s="256">
        <v>16489.31120940133</v>
      </c>
      <c r="E16" s="257">
        <f>E9</f>
        <v>0.97</v>
      </c>
      <c r="F16" s="256">
        <f>D16*E16</f>
        <v>15994.63187311929</v>
      </c>
      <c r="G16" s="181">
        <f>F16+(G11-F11)-((G11-F11)/2+F11)*'PERDIDAS y OTROS'!E$14</f>
        <v>18102.278485059924</v>
      </c>
      <c r="H16" s="181">
        <f>G16+(H11-G11)-((H11-G11)/2+G11)*'PERDIDAS y OTROS'!F$14</f>
        <v>20415.415866769308</v>
      </c>
      <c r="I16" s="181">
        <f>H16+(I11-H11)-((I11-H11)/2+H11)*'PERDIDAS y OTROS'!G$14</f>
        <v>22183.247706016191</v>
      </c>
      <c r="J16" s="181">
        <f>I16+(J11-I11)-((J11-I11)/2+I11)*'PERDIDAS y OTROS'!H$14</f>
        <v>24443.703552819323</v>
      </c>
    </row>
    <row r="17" spans="2:12" x14ac:dyDescent="0.25">
      <c r="B17" s="185"/>
      <c r="C17" s="185"/>
      <c r="D17" s="258">
        <f>SUM(D14:D16)</f>
        <v>441074.93389534933</v>
      </c>
      <c r="E17" s="258"/>
      <c r="F17" s="258">
        <f>SUM(F14:F16)</f>
        <v>427842.68587848882</v>
      </c>
      <c r="G17" s="186"/>
      <c r="H17" s="186"/>
      <c r="I17" s="186"/>
      <c r="J17" s="186"/>
    </row>
    <row r="18" spans="2:12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x14ac:dyDescent="0.25">
      <c r="B19" s="45"/>
      <c r="C19" s="45"/>
      <c r="D19" s="81"/>
      <c r="E19" s="187"/>
      <c r="F19" s="187"/>
      <c r="G19" s="187"/>
      <c r="H19" s="187"/>
      <c r="I19" s="81"/>
      <c r="J19" s="81"/>
      <c r="K19" s="81"/>
      <c r="L19" s="81"/>
    </row>
    <row r="20" spans="2:12" x14ac:dyDescent="0.25">
      <c r="E20" s="188"/>
    </row>
    <row r="39" spans="5:5" x14ac:dyDescent="0.25">
      <c r="E39" s="297"/>
    </row>
  </sheetData>
  <sheetProtection algorithmName="SHA-512" hashValue="Aa9JFTk3C8K9WPKmjH/y/FPXjxQAYOSuxYb8xVq4xQuKCL5V0XDhAmNSYjXZAjeYjL8yKH7bZWswmIZGwIFpCg==" saltValue="DV7+8DiM+4iovutbuwaNUg==" spinCount="100000" sheet="1" objects="1" scenarios="1"/>
  <phoneticPr fontId="0" type="noConversion"/>
  <pageMargins left="0.74803149606299213" right="0.74803149606299213" top="0.51181102362204722" bottom="0.51181102362204722" header="0.39370078740157483" footer="0"/>
  <pageSetup scale="76" orientation="landscape" horizontalDpi="300" verticalDpi="300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H39"/>
  <sheetViews>
    <sheetView zoomScaleNormal="100" workbookViewId="0"/>
  </sheetViews>
  <sheetFormatPr baseColWidth="10" defaultColWidth="11.42578125" defaultRowHeight="15" x14ac:dyDescent="0.25"/>
  <cols>
    <col min="1" max="1" width="1.7109375" style="20" customWidth="1"/>
    <col min="2" max="2" width="46.42578125" style="20" customWidth="1"/>
    <col min="3" max="3" width="11.7109375" style="20" bestFit="1" customWidth="1"/>
    <col min="4" max="4" width="15.85546875" style="20" customWidth="1"/>
    <col min="5" max="5" width="16.5703125" style="20" bestFit="1" customWidth="1"/>
    <col min="6" max="7" width="16.85546875" style="20" bestFit="1" customWidth="1"/>
    <col min="8" max="8" width="15" style="20" bestFit="1" customWidth="1"/>
    <col min="9" max="9" width="13.42578125" style="20" bestFit="1" customWidth="1"/>
    <col min="10" max="13" width="10.140625" style="20" bestFit="1" customWidth="1"/>
    <col min="14" max="16384" width="11.42578125" style="20"/>
  </cols>
  <sheetData>
    <row r="2" spans="2:8" x14ac:dyDescent="0.25">
      <c r="B2" s="53" t="s">
        <v>105</v>
      </c>
    </row>
    <row r="4" spans="2:8" x14ac:dyDescent="0.25">
      <c r="B4" s="32" t="s">
        <v>56</v>
      </c>
    </row>
    <row r="6" spans="2:8" x14ac:dyDescent="0.25">
      <c r="B6" s="327" t="s">
        <v>153</v>
      </c>
      <c r="C6" s="328"/>
      <c r="D6" s="153" t="s">
        <v>57</v>
      </c>
      <c r="E6" s="22" t="s">
        <v>164</v>
      </c>
      <c r="F6" s="22" t="s">
        <v>165</v>
      </c>
      <c r="G6" s="22" t="s">
        <v>166</v>
      </c>
      <c r="H6" s="22" t="s">
        <v>167</v>
      </c>
    </row>
    <row r="7" spans="2:8" x14ac:dyDescent="0.25">
      <c r="B7" s="189"/>
      <c r="C7" s="189"/>
      <c r="D7" s="190"/>
      <c r="E7" s="191"/>
      <c r="F7" s="191"/>
      <c r="G7" s="191"/>
      <c r="H7" s="191"/>
    </row>
    <row r="8" spans="2:8" x14ac:dyDescent="0.25">
      <c r="B8" s="192" t="s">
        <v>34</v>
      </c>
      <c r="C8" s="193" t="s">
        <v>33</v>
      </c>
      <c r="D8" s="194" t="s">
        <v>103</v>
      </c>
      <c r="E8" s="195">
        <v>141.8501183817537</v>
      </c>
      <c r="F8" s="195">
        <v>141.87340376013046</v>
      </c>
      <c r="G8" s="195">
        <v>125.11279591623185</v>
      </c>
      <c r="H8" s="195">
        <v>121.17521801756078</v>
      </c>
    </row>
    <row r="9" spans="2:8" x14ac:dyDescent="0.25">
      <c r="B9" s="154" t="s">
        <v>104</v>
      </c>
      <c r="C9" s="194" t="s">
        <v>1</v>
      </c>
      <c r="D9" s="194" t="s">
        <v>0</v>
      </c>
      <c r="E9" s="196">
        <f>+REGRESIONES!D89</f>
        <v>7.6639089915164688E-2</v>
      </c>
      <c r="F9" s="196">
        <f>+REGRESIONES!E89</f>
        <v>7.6628238787353642E-2</v>
      </c>
      <c r="G9" s="196">
        <f>+REGRESIONES!F89</f>
        <v>7.6620352616335499E-2</v>
      </c>
      <c r="H9" s="196">
        <f>+REGRESIONES!G89</f>
        <v>7.6610967847197314E-2</v>
      </c>
    </row>
    <row r="10" spans="2:8" x14ac:dyDescent="0.25">
      <c r="B10" s="154" t="s">
        <v>91</v>
      </c>
      <c r="C10" s="194" t="s">
        <v>1</v>
      </c>
      <c r="D10" s="194" t="s">
        <v>0</v>
      </c>
      <c r="E10" s="196">
        <v>1.4999999999999999E-2</v>
      </c>
      <c r="F10" s="196">
        <v>1.4999999999999999E-2</v>
      </c>
      <c r="G10" s="196">
        <v>1.4999999999999999E-2</v>
      </c>
      <c r="H10" s="196">
        <v>1.4999999999999999E-2</v>
      </c>
    </row>
    <row r="11" spans="2:8" x14ac:dyDescent="0.25">
      <c r="B11" s="154" t="s">
        <v>144</v>
      </c>
      <c r="C11" s="194" t="s">
        <v>1</v>
      </c>
      <c r="D11" s="194" t="s">
        <v>0</v>
      </c>
      <c r="E11" s="196">
        <f>2.95%*0.6</f>
        <v>1.77E-2</v>
      </c>
      <c r="F11" s="196">
        <f t="shared" ref="F11:H11" si="0">2.95%*0.6</f>
        <v>1.77E-2</v>
      </c>
      <c r="G11" s="196">
        <f t="shared" si="0"/>
        <v>1.77E-2</v>
      </c>
      <c r="H11" s="196">
        <f t="shared" si="0"/>
        <v>1.77E-2</v>
      </c>
    </row>
    <row r="12" spans="2:8" x14ac:dyDescent="0.25">
      <c r="B12" s="154" t="s">
        <v>88</v>
      </c>
      <c r="C12" s="194" t="s">
        <v>32</v>
      </c>
      <c r="D12" s="194" t="s">
        <v>0</v>
      </c>
      <c r="E12" s="196">
        <v>3.5000000000000003E-2</v>
      </c>
      <c r="F12" s="196">
        <f>+E12</f>
        <v>3.5000000000000003E-2</v>
      </c>
      <c r="G12" s="196">
        <f t="shared" ref="G12:H12" si="1">+F12</f>
        <v>3.5000000000000003E-2</v>
      </c>
      <c r="H12" s="196">
        <f t="shared" si="1"/>
        <v>3.5000000000000003E-2</v>
      </c>
    </row>
    <row r="13" spans="2:8" x14ac:dyDescent="0.25">
      <c r="B13" s="154" t="s">
        <v>89</v>
      </c>
      <c r="C13" s="194" t="s">
        <v>32</v>
      </c>
      <c r="D13" s="194" t="s">
        <v>0</v>
      </c>
      <c r="E13" s="196">
        <v>4.7500000000000001E-2</v>
      </c>
      <c r="F13" s="196">
        <f t="shared" ref="F13:H14" si="2">+E13</f>
        <v>4.7500000000000001E-2</v>
      </c>
      <c r="G13" s="196">
        <f t="shared" si="2"/>
        <v>4.7500000000000001E-2</v>
      </c>
      <c r="H13" s="196">
        <f t="shared" si="2"/>
        <v>4.7500000000000001E-2</v>
      </c>
    </row>
    <row r="14" spans="2:8" x14ac:dyDescent="0.25">
      <c r="B14" s="154" t="s">
        <v>90</v>
      </c>
      <c r="C14" s="194" t="s">
        <v>32</v>
      </c>
      <c r="D14" s="194" t="s">
        <v>0</v>
      </c>
      <c r="E14" s="196">
        <v>4.5499999999999999E-2</v>
      </c>
      <c r="F14" s="196">
        <f t="shared" si="2"/>
        <v>4.5499999999999999E-2</v>
      </c>
      <c r="G14" s="196">
        <f t="shared" si="2"/>
        <v>4.5499999999999999E-2</v>
      </c>
      <c r="H14" s="196">
        <f t="shared" si="2"/>
        <v>4.5499999999999999E-2</v>
      </c>
    </row>
    <row r="15" spans="2:8" x14ac:dyDescent="0.25">
      <c r="B15" s="154" t="s">
        <v>53</v>
      </c>
      <c r="C15" s="194" t="s">
        <v>54</v>
      </c>
      <c r="D15" s="194" t="s">
        <v>100</v>
      </c>
      <c r="E15" s="195">
        <f>+ALUMPU!D11</f>
        <v>748.74889500000006</v>
      </c>
      <c r="F15" s="195">
        <f>+ALUMPU!E11</f>
        <v>772.05245000000002</v>
      </c>
      <c r="G15" s="195">
        <f>+ALUMPU!F11</f>
        <v>798.65395000000012</v>
      </c>
      <c r="H15" s="195">
        <f>+ALUMPU!G11</f>
        <v>822.80362500000001</v>
      </c>
    </row>
    <row r="16" spans="2:8" x14ac:dyDescent="0.25">
      <c r="B16" s="160"/>
      <c r="C16" s="160"/>
      <c r="D16" s="160"/>
      <c r="E16" s="161"/>
      <c r="F16" s="161"/>
      <c r="G16" s="161"/>
      <c r="H16" s="161"/>
    </row>
    <row r="18" spans="2:8" x14ac:dyDescent="0.25">
      <c r="B18" s="32"/>
    </row>
    <row r="19" spans="2:8" x14ac:dyDescent="0.25">
      <c r="E19" s="197"/>
      <c r="F19" s="197"/>
      <c r="G19" s="197"/>
      <c r="H19" s="197"/>
    </row>
    <row r="22" spans="2:8" x14ac:dyDescent="0.25">
      <c r="B22" s="67"/>
      <c r="C22" s="67"/>
    </row>
    <row r="23" spans="2:8" x14ac:dyDescent="0.25">
      <c r="B23" s="67"/>
    </row>
    <row r="39" spans="5:5" x14ac:dyDescent="0.25">
      <c r="E39" s="297"/>
    </row>
  </sheetData>
  <sheetProtection algorithmName="SHA-512" hashValue="HczXBFD/6NHa7cZ4bAaAFlns6JW2u4mUh0SlpPSd6PFLMDLm/70uw0p91L63P5Cqvw/8wcc5wLndh2DTy+Yslg==" saltValue="BOOmdQH4z5EeDzbZmlQQxw==" spinCount="100000" sheet="1" objects="1" scenarios="1"/>
  <mergeCells count="1">
    <mergeCell ref="B6:C6"/>
  </mergeCells>
  <phoneticPr fontId="0" type="noConversion"/>
  <pageMargins left="0.74803149606299213" right="0.74803149606299213" top="0.51181102362204722" bottom="0.51181102362204722" header="0.39370078740157483" footer="0"/>
  <pageSetup scale="86" orientation="landscape" horizontalDpi="300" verticalDpi="300" r:id="rId1"/>
  <headerFooter alignWithMargins="0">
    <oddHeader xml:space="preserve">&amp;R&amp;"Calibri,Normal"&amp;12
</oddHeader>
    <oddFooter>&amp;L&amp;"Times New Roman,Normal"Anexo B de la Resolución AN No.13003-Elec de 12 de diciembre de 2018&amp;C&amp;"Times New Roman,Normal"&amp;A&amp;R&amp;"Times New Roman,Normal"Página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JennyDL</cp:lastModifiedBy>
  <cp:lastPrinted>2018-12-13T15:35:14Z</cp:lastPrinted>
  <dcterms:created xsi:type="dcterms:W3CDTF">2001-07-13T14:01:29Z</dcterms:created>
  <dcterms:modified xsi:type="dcterms:W3CDTF">2018-12-13T15:36:00Z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